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mcarr\Desktop\"/>
    </mc:Choice>
  </mc:AlternateContent>
  <xr:revisionPtr revIDLastSave="0" documentId="8_{1403E5C5-3CC9-4F74-A4B9-6E132546B0FF}" xr6:coauthVersionLast="44" xr6:coauthVersionMax="44" xr10:uidLastSave="{00000000-0000-0000-0000-000000000000}"/>
  <bookViews>
    <workbookView xWindow="20370" yWindow="-2235" windowWidth="29040" windowHeight="15840" xr2:uid="{00000000-000D-0000-FFFF-FFFF00000000}"/>
  </bookViews>
  <sheets>
    <sheet name="Instructions" sheetId="18" r:id="rId1"/>
    <sheet name="HH Rev Data Input" sheetId="9" r:id="rId2"/>
    <sheet name="HO Rev Data Input" sheetId="10" r:id="rId3"/>
    <sheet name="Cost Data Input" sheetId="2" r:id="rId4"/>
    <sheet name="HH Summary" sheetId="16" r:id="rId5"/>
    <sheet name="HO Summary" sheetId="17" r:id="rId6"/>
    <sheet name="HH Medicare Rev" sheetId="11" r:id="rId7"/>
    <sheet name="HH Non-Medicare Rev (PDGM-PPS)" sheetId="12" r:id="rId8"/>
    <sheet name="HH Non-Medicare Rev (FFS)" sheetId="13" r:id="rId9"/>
    <sheet name="HO Medicare Rev" sheetId="14" r:id="rId10"/>
    <sheet name="HO Non-Medicare Rev" sheetId="15" r:id="rId11"/>
    <sheet name="HH Cost Summary" sheetId="3" r:id="rId12"/>
    <sheet name="HO Cost Summary" sheetId="7" r:id="rId13"/>
    <sheet name="Cost Definitions" sheetId="6" r:id="rId14"/>
    <sheet name="Cost Appendix A" sheetId="5" r:id="rId15"/>
  </sheets>
  <externalReferences>
    <externalReference r:id="rId16"/>
    <externalReference r:id="rId17"/>
    <externalReference r:id="rId18"/>
    <externalReference r:id="rId19"/>
    <externalReference r:id="rId20"/>
    <externalReference r:id="rId21"/>
    <externalReference r:id="rId22"/>
  </externalReferences>
  <definedNames>
    <definedName name="___xlc_DefaultDisplayOption___" hidden="1">"caption"</definedName>
    <definedName name="___xlc_DisplayNullValues___" hidden="1">TRUE</definedName>
    <definedName name="___xlc_DisplayNullValuesAs___" hidden="1">0</definedName>
    <definedName name="___xlc_PromptForInsertOnDrill___" hidden="1">FALSE</definedName>
    <definedName name="___xlc_SuppressNULLSOnDrill___" hidden="1">TRUE</definedName>
    <definedName name="___xlc_SuppressZerosOnDrill___" hidden="1">FALSE</definedName>
    <definedName name="_Fill" localSheetId="3" hidden="1">'[1]AFN Jan  2003'!#REF!</definedName>
    <definedName name="_Fill" hidden="1">'[1]AFN Jan  2003'!#REF!</definedName>
    <definedName name="_Key1" localSheetId="3" hidden="1">#REF!</definedName>
    <definedName name="_Key1" hidden="1">#REF!</definedName>
    <definedName name="_Order1" hidden="1">0</definedName>
    <definedName name="_Order2" hidden="1">255</definedName>
    <definedName name="_Sort" localSheetId="3" hidden="1">#REF!</definedName>
    <definedName name="_Sort" hidden="1">#REF!</definedName>
    <definedName name="aaaa" hidden="1">255</definedName>
    <definedName name="AS2DocOpenMode" hidden="1">"AS2DocumentBrowse"</definedName>
    <definedName name="AS2ReportLS" hidden="1">1</definedName>
    <definedName name="AS2SyncStepLS" hidden="1">0</definedName>
    <definedName name="AS2TickmarkLS" localSheetId="3" hidden="1">#REF!</definedName>
    <definedName name="AS2TickmarkLS" hidden="1">#REF!</definedName>
    <definedName name="AS2VersionLS" hidden="1">300</definedName>
    <definedName name="bbbb" hidden="1">255</definedName>
    <definedName name="BG_Del" hidden="1">15</definedName>
    <definedName name="BG_Ins" hidden="1">4</definedName>
    <definedName name="BG_Mod" hidden="1">6</definedName>
    <definedName name="CapitalCost" localSheetId="12">Table7[CapitalCosts]</definedName>
    <definedName name="CapitalCost">Table7[CapitalCosts]</definedName>
    <definedName name="CapitalCosts" localSheetId="12">Table7[CapitalCosts]</definedName>
    <definedName name="CapitalCosts">Table7[CapitalCosts]</definedName>
    <definedName name="Categories" localSheetId="12">Table1[Categories]</definedName>
    <definedName name="Categories">Table1[Categories]</definedName>
    <definedName name="DATA_01" localSheetId="3" hidden="1">'[2]Statement of Cash Flows'!#REF!</definedName>
    <definedName name="DATA_01" hidden="1">'[2]Statement of Cash Flows'!#REF!</definedName>
    <definedName name="DATA_03" localSheetId="3" hidden="1">'[2]Statement of Cash Flows'!#REF!</definedName>
    <definedName name="DATA_03" hidden="1">'[2]Statement of Cash Flows'!#REF!</definedName>
    <definedName name="DATA_05" localSheetId="3" hidden="1">'[3]PCI Cash Flows'!#REF!</definedName>
    <definedName name="DATA_05" hidden="1">'[3]PCI Cash Flows'!#REF!</definedName>
    <definedName name="DATA_07" localSheetId="3" hidden="1">'[3]PCI Cash Flows'!#REF!</definedName>
    <definedName name="DATA_07" hidden="1">'[3]PCI Cash Flows'!#REF!</definedName>
    <definedName name="DataRange" localSheetId="3">CO [4]List!$A$5:$N$65525</definedName>
    <definedName name="DataRange" localSheetId="12">CO [4]List!$A$5:$N$65525</definedName>
    <definedName name="DataRange">CO [4]List!$A$5:$N$65525</definedName>
    <definedName name="dfdf" hidden="1">{#N/A,#N/A,FALSE,"Consolidated";#N/A,#N/A,FALSE,"Statistics";#N/A,#N/A,FALSE,"ConsolInc";#N/A,#N/A,FALSE,"HospitalInc";#N/A,#N/A,FALSE,"Schedule1";#N/A,#N/A,FALSE,"FootnoteA";#N/A,#N/A,FALSE,"AmbulatoryCenters";#N/A,#N/A,FALSE,"RealEstate";#N/A,#N/A,FALSE,"Corp-Found";#N/A,#N/A,FALSE,"Premier";#N/A,#N/A,FALSE,"BalanceSheet"}</definedName>
    <definedName name="dfdfd" hidden="1">{#N/A,#N/A,FALSE,"ConsolOPSum1";#N/A,#N/A,FALSE,"ConsolOPSum2";#N/A,#N/A,FALSE,"OpSum3"}</definedName>
    <definedName name="dfdfdfdfdfdfdf" hidden="1">{#N/A,#N/A,FALSE,"Consolidated";#N/A,#N/A,FALSE,"Statistics";#N/A,#N/A,FALSE,"ConsolInc";#N/A,#N/A,FALSE,"HospitalInc";#N/A,#N/A,FALSE,"Schedule1";#N/A,#N/A,FALSE,"FootnoteA";#N/A,#N/A,FALSE,"AmbulatoryCenters";#N/A,#N/A,FALSE,"RealEstate";#N/A,#N/A,FALSE,"Corp-Found";#N/A,#N/A,FALSE,"Premier";#N/A,#N/A,FALSE,"BalanceSheet"}</definedName>
    <definedName name="DirectCosts" localSheetId="12">Table2[Direct Costs]</definedName>
    <definedName name="DirectCosts">Table2[Direct Costs]</definedName>
    <definedName name="eeee" hidden="1">255</definedName>
    <definedName name="HeaderRange" localSheetId="3">CO [4]List!$A$5:$N$5</definedName>
    <definedName name="HeaderRange" localSheetId="12">CO [4]List!$A$5:$N$5</definedName>
    <definedName name="HeaderRange">CO [4]List!$A$5:$N$5</definedName>
    <definedName name="HTML_CodePage" hidden="1">1252</definedName>
    <definedName name="HTML_Control" hidden="1">{"'Mar'!$A$1:$J$37"}</definedName>
    <definedName name="HTML_Description" hidden="1">""</definedName>
    <definedName name="HTML_Email" hidden="1">"shaase@chw.edu"</definedName>
    <definedName name="HTML_Header" hidden="1">""</definedName>
    <definedName name="HTML_LastUpdate" hidden="1">"4/1/2003"</definedName>
    <definedName name="HTML_LineAfter" hidden="1">FALSE</definedName>
    <definedName name="HTML_LineBefore" hidden="1">FALSE</definedName>
    <definedName name="HTML_Name" hidden="1">"S. Haase"</definedName>
    <definedName name="HTML_OBDlg2" hidden="1">TRUE</definedName>
    <definedName name="HTML_OBDlg4" hidden="1">TRUE</definedName>
    <definedName name="HTML_OS" hidden="1">0</definedName>
    <definedName name="HTML_PathFile" hidden="1">"T:\test\daily.htm"</definedName>
    <definedName name="HTML_Title" hidden="1">"March 2003 Daily Patient Days Report"</definedName>
    <definedName name="IndirectCosts" localSheetId="12">Table3[Indirect Costs]</definedName>
    <definedName name="IndirectCosts">Table3[Indirect Costs]</definedName>
    <definedName name="IntroPrintArea" localSheetId="3" hidden="1">#REF!</definedName>
    <definedName name="IntroPrintArea" hidden="1">#REF!</definedName>
    <definedName name="Months" localSheetId="12">Table8[Months]</definedName>
    <definedName name="Months">Table8[Months]</definedName>
    <definedName name="no">#REF!</definedName>
    <definedName name="old" hidden="1">{#N/A,#N/A,FALSE,"Consolidated";#N/A,#N/A,FALSE,"Statistics";#N/A,#N/A,FALSE,"ConsolInc";#N/A,#N/A,FALSE,"HospitalInc";#N/A,#N/A,FALSE,"Schedule1";#N/A,#N/A,FALSE,"FootnoteA";#N/A,#N/A,FALSE,"AmbulatoryCenters";#N/A,#N/A,FALSE,"RealEstate";#N/A,#N/A,FALSE,"Corp-Found";#N/A,#N/A,FALSE,"Premier";#N/A,#N/A,FALSE,"BalanceSheet"}</definedName>
    <definedName name="OperatingCosts">Table4[OperatingCosts]</definedName>
    <definedName name="OperatingExpenses" localSheetId="12">Table4[OperatingCosts]</definedName>
    <definedName name="OperatingExpenses">Table4[OperatingCosts]</definedName>
    <definedName name="pfs" localSheetId="3" hidden="1">#REF!</definedName>
    <definedName name="pfs" hidden="1">#REF!</definedName>
    <definedName name="SalesBillable" localSheetId="12">Table2[Direct Costs]</definedName>
    <definedName name="SalesBillable">Table2[Direct Costs]</definedName>
    <definedName name="SalesNonBillable" localSheetId="12">Table3[Indirect Costs]</definedName>
    <definedName name="SalesNonBillable">Table3[Indirect Costs]</definedName>
    <definedName name="Sch_B_Contr_Type_1">'[5]Drop down'!$D$3:$D$4</definedName>
    <definedName name="Sch_B_Contr_Type_2">'[5]Drop down'!$D$7:$D$12</definedName>
    <definedName name="Sch_B_Contr_Type_3">'[5]Drop down'!$D$15:$D$16</definedName>
    <definedName name="Sch_I_Grant_purpose" localSheetId="3">#REF!</definedName>
    <definedName name="Sch_I_Grant_purpose">#REF!</definedName>
    <definedName name="Sch_I_IRC_Section" localSheetId="3">#REF!</definedName>
    <definedName name="Sch_I_IRC_Section">#REF!</definedName>
    <definedName name="Sch_YES_NO_or_NA" localSheetId="3">#REF!</definedName>
    <definedName name="Sch_YES_NO_or_NA">#REF!</definedName>
    <definedName name="Sch_YesNo" localSheetId="3">#REF!</definedName>
    <definedName name="Sch_YesNo">#REF!</definedName>
    <definedName name="SortRange" localSheetId="3">CO [4]List!$A$6:$N$65525</definedName>
    <definedName name="SortRange" localSheetId="12">CO [4]List!$A$6:$N$65525</definedName>
    <definedName name="SortRange">CO [4]List!$A$6:$N$65525</definedName>
    <definedName name="stop" localSheetId="12">CO [4]List!$A$6:$N$65525</definedName>
    <definedName name="stop">CO [4]List!$A$6:$N$65525</definedName>
    <definedName name="TextRefCopyRangeCount" hidden="1">4</definedName>
    <definedName name="Titles" localSheetId="3">'[6]COVID19 Activities'!#REF!</definedName>
    <definedName name="Titles">'[6]COVID19 Activities'!#REF!</definedName>
    <definedName name="TopSection" localSheetId="3">CO [4]List!$A$1:$N$5</definedName>
    <definedName name="TopSection" localSheetId="12">CO [4]List!$A$1:$N$5</definedName>
    <definedName name="TopSection">CO [4]List!$A$1:$N$5</definedName>
    <definedName name="wrn.1997._.Statements." hidden="1">{#N/A,#N/A,FALSE,"Consolidated";#N/A,#N/A,FALSE,"Statistics";#N/A,#N/A,FALSE,"ConsolInc";#N/A,#N/A,FALSE,"HospitalInc";#N/A,#N/A,FALSE,"Schedule1";#N/A,#N/A,FALSE,"FootnoteA";#N/A,#N/A,FALSE,"AmbulatoryCenters";#N/A,#N/A,FALSE,"RealEstate";#N/A,#N/A,FALSE,"Corp-Found";#N/A,#N/A,FALSE,"Premier";#N/A,#N/A,FALSE,"BalanceSheet"}</definedName>
    <definedName name="wrn.ConsolOPSum." hidden="1">{#N/A,#N/A,FALSE,"ConsolOPSum1";#N/A,#N/A,FALSE,"ConsolOPSum2";#N/A,#N/A,FALSE,"OpSum3"}</definedName>
    <definedName name="wrn.HospOPSum." hidden="1">{#N/A,#N/A,FALSE,"HospOpSum1";#N/A,#N/A,FALSE,"HospOpSum2";#N/A,#N/A,FALSE,"OpSum3"}</definedName>
    <definedName name="wrn.PaperPanel." hidden="1">{#N/A,#N/A,FALSE,"Control"}</definedName>
    <definedName name="wwww" hidden="1">255</definedName>
    <definedName name="XRefActiveRow" localSheetId="3" hidden="1">#REF!</definedName>
    <definedName name="XRefActiveRow" hidden="1">#REF!</definedName>
    <definedName name="XRefColumnsCount" hidden="1">1</definedName>
    <definedName name="XRefCopy1Row" localSheetId="3" hidden="1">#REF!</definedName>
    <definedName name="XRefCopy1Row" hidden="1">#REF!</definedName>
    <definedName name="XRefCopy2" localSheetId="3" hidden="1">[7]Tickmarks!#REF!</definedName>
    <definedName name="XRefCopy2" hidden="1">[7]Tickmarks!#REF!</definedName>
    <definedName name="XRefCopy2Row" localSheetId="3" hidden="1">#REF!</definedName>
    <definedName name="XRefCopy2Row" hidden="1">#REF!</definedName>
    <definedName name="XRefCopy3Row" localSheetId="3" hidden="1">#REF!</definedName>
    <definedName name="XRefCopy3Row" hidden="1">#REF!</definedName>
    <definedName name="XRefCopyRangeCount" hidden="1">1</definedName>
    <definedName name="XRefPaste1Row" localSheetId="3" hidden="1">#REF!</definedName>
    <definedName name="XRefPaste1Row" hidden="1">#REF!</definedName>
    <definedName name="XRefPasteRangeCount" hidden="1">1</definedName>
    <definedName name="Z_0C87BEEA_2505_403F_ACD2_8F93A4A4AB22_.wvu.PrintArea" localSheetId="3" hidden="1">#REF!</definedName>
    <definedName name="Z_0C87BEEA_2505_403F_ACD2_8F93A4A4AB22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7" l="1"/>
  <c r="L27" i="7"/>
  <c r="K27" i="7"/>
  <c r="J27" i="7"/>
  <c r="I27" i="7"/>
  <c r="H27" i="7"/>
  <c r="G27" i="7"/>
  <c r="F27" i="7"/>
  <c r="E27" i="7"/>
  <c r="D27" i="7"/>
  <c r="C27" i="7"/>
  <c r="B27" i="7"/>
  <c r="M27" i="3"/>
  <c r="L27" i="3"/>
  <c r="K27" i="3"/>
  <c r="J27" i="3"/>
  <c r="I27" i="3"/>
  <c r="H27" i="3"/>
  <c r="G27" i="3"/>
  <c r="F27" i="3"/>
  <c r="E27" i="3"/>
  <c r="D27" i="3"/>
  <c r="C27" i="3"/>
  <c r="B27" i="3"/>
  <c r="M55" i="3" l="1"/>
  <c r="L55" i="3"/>
  <c r="K55" i="3"/>
  <c r="J55" i="3"/>
  <c r="I55" i="3"/>
  <c r="H55" i="3"/>
  <c r="G55" i="3"/>
  <c r="F55" i="3"/>
  <c r="E55" i="3"/>
  <c r="D55" i="3"/>
  <c r="C55" i="3"/>
  <c r="B55" i="3"/>
  <c r="M55" i="7"/>
  <c r="L55" i="7"/>
  <c r="K55" i="7"/>
  <c r="J55" i="7"/>
  <c r="I55" i="7"/>
  <c r="H55" i="7"/>
  <c r="G55" i="7"/>
  <c r="F55" i="7"/>
  <c r="E55" i="7"/>
  <c r="D55" i="7"/>
  <c r="C55" i="7"/>
  <c r="B55" i="7"/>
  <c r="M54" i="3"/>
  <c r="L54" i="3"/>
  <c r="K54" i="3"/>
  <c r="J54" i="3"/>
  <c r="I54" i="3"/>
  <c r="H54" i="3"/>
  <c r="G54" i="3"/>
  <c r="F54" i="3"/>
  <c r="E54" i="3"/>
  <c r="D54" i="3"/>
  <c r="C54" i="3"/>
  <c r="B54" i="3"/>
  <c r="M54" i="7"/>
  <c r="L54" i="7"/>
  <c r="K54" i="7"/>
  <c r="J54" i="7"/>
  <c r="I54" i="7"/>
  <c r="H54" i="7"/>
  <c r="G54" i="7"/>
  <c r="F54" i="7"/>
  <c r="E54" i="7"/>
  <c r="D54" i="7"/>
  <c r="C54" i="7"/>
  <c r="B54" i="7"/>
  <c r="N55" i="7" l="1"/>
  <c r="N55" i="3"/>
  <c r="M50" i="7"/>
  <c r="L50" i="7"/>
  <c r="K50" i="7"/>
  <c r="J50" i="7"/>
  <c r="I50" i="7"/>
  <c r="H50" i="7"/>
  <c r="G50" i="7"/>
  <c r="F50" i="7"/>
  <c r="E50" i="7"/>
  <c r="D50" i="7"/>
  <c r="C50" i="7"/>
  <c r="B50" i="7"/>
  <c r="M50" i="3"/>
  <c r="L50" i="3"/>
  <c r="K50" i="3"/>
  <c r="J50" i="3"/>
  <c r="I50" i="3"/>
  <c r="H50" i="3"/>
  <c r="G50" i="3"/>
  <c r="F50" i="3"/>
  <c r="E50" i="3"/>
  <c r="D50" i="3"/>
  <c r="C50" i="3"/>
  <c r="B50" i="3"/>
  <c r="M48" i="3"/>
  <c r="L48" i="3"/>
  <c r="K48" i="3"/>
  <c r="J48" i="3"/>
  <c r="I48" i="3"/>
  <c r="H48" i="3"/>
  <c r="G48" i="3"/>
  <c r="F48" i="3"/>
  <c r="E48" i="3"/>
  <c r="D48" i="3"/>
  <c r="C48" i="3"/>
  <c r="B48" i="3"/>
  <c r="M48" i="7"/>
  <c r="L48" i="7"/>
  <c r="K48" i="7"/>
  <c r="J48" i="7"/>
  <c r="I48" i="7"/>
  <c r="H48" i="7"/>
  <c r="G48" i="7"/>
  <c r="F48" i="7"/>
  <c r="E48" i="7"/>
  <c r="D48" i="7"/>
  <c r="C48" i="7"/>
  <c r="B48" i="7"/>
  <c r="N48" i="3" l="1"/>
  <c r="N50" i="3"/>
  <c r="N50" i="7"/>
  <c r="N48" i="7"/>
  <c r="M60" i="7"/>
  <c r="L60" i="7"/>
  <c r="K60" i="7"/>
  <c r="J60" i="7"/>
  <c r="I60" i="7"/>
  <c r="H60" i="7"/>
  <c r="G60" i="7"/>
  <c r="F60" i="7"/>
  <c r="E60" i="7"/>
  <c r="D60" i="7"/>
  <c r="C60" i="7"/>
  <c r="B60" i="7"/>
  <c r="M60" i="3"/>
  <c r="L60" i="3"/>
  <c r="K60" i="3"/>
  <c r="J60" i="3"/>
  <c r="I60" i="3"/>
  <c r="H60" i="3"/>
  <c r="G60" i="3"/>
  <c r="F60" i="3"/>
  <c r="E60" i="3"/>
  <c r="D60" i="3"/>
  <c r="C60" i="3"/>
  <c r="B60" i="3"/>
  <c r="M29" i="3"/>
  <c r="L29" i="3"/>
  <c r="K29" i="3"/>
  <c r="J29" i="3"/>
  <c r="I29" i="3"/>
  <c r="H29" i="3"/>
  <c r="G29" i="3"/>
  <c r="F29" i="3"/>
  <c r="E29" i="3"/>
  <c r="D29" i="3"/>
  <c r="C29" i="3"/>
  <c r="B29" i="3"/>
  <c r="M29" i="7"/>
  <c r="L29" i="7"/>
  <c r="K29" i="7"/>
  <c r="J29" i="7"/>
  <c r="I29" i="7"/>
  <c r="H29" i="7"/>
  <c r="G29" i="7"/>
  <c r="F29" i="7"/>
  <c r="E29" i="7"/>
  <c r="D29" i="7"/>
  <c r="C29" i="7"/>
  <c r="B29" i="7"/>
  <c r="F13" i="15" l="1"/>
  <c r="G13" i="15"/>
  <c r="H13" i="15"/>
  <c r="I13" i="15"/>
  <c r="J13" i="15"/>
  <c r="K13" i="15"/>
  <c r="L13" i="15"/>
  <c r="M13" i="15"/>
  <c r="N13" i="15"/>
  <c r="E13" i="15"/>
  <c r="C13" i="15"/>
  <c r="B13" i="15"/>
  <c r="F12" i="15"/>
  <c r="G12" i="15"/>
  <c r="H12" i="15"/>
  <c r="I12" i="15"/>
  <c r="J12" i="15"/>
  <c r="K12" i="15"/>
  <c r="L12" i="15"/>
  <c r="M12" i="15"/>
  <c r="N12" i="15"/>
  <c r="E12" i="15"/>
  <c r="C12" i="15"/>
  <c r="B12" i="15"/>
  <c r="N11" i="15"/>
  <c r="M11" i="15"/>
  <c r="L11" i="15"/>
  <c r="K11" i="15"/>
  <c r="J11" i="15"/>
  <c r="I11" i="15"/>
  <c r="H11" i="15"/>
  <c r="G11" i="15"/>
  <c r="F11" i="15"/>
  <c r="E11" i="15"/>
  <c r="C11" i="15"/>
  <c r="B11" i="15"/>
  <c r="N10" i="15"/>
  <c r="M10" i="15"/>
  <c r="L10" i="15"/>
  <c r="K10" i="15"/>
  <c r="J10" i="15"/>
  <c r="I10" i="15"/>
  <c r="H10" i="15"/>
  <c r="G10" i="15"/>
  <c r="F10" i="15"/>
  <c r="E10" i="15"/>
  <c r="C10" i="15"/>
  <c r="B10" i="15"/>
  <c r="F9" i="15"/>
  <c r="G9" i="15"/>
  <c r="H9" i="15"/>
  <c r="I9" i="15"/>
  <c r="J9" i="15"/>
  <c r="K9" i="15"/>
  <c r="L9" i="15"/>
  <c r="M9" i="15"/>
  <c r="N9" i="15"/>
  <c r="E9" i="15"/>
  <c r="C9" i="15"/>
  <c r="B9" i="15"/>
  <c r="F8" i="15"/>
  <c r="G8" i="15"/>
  <c r="H8" i="15"/>
  <c r="I8" i="15"/>
  <c r="J8" i="15"/>
  <c r="K8" i="15"/>
  <c r="L8" i="15"/>
  <c r="M8" i="15"/>
  <c r="N8" i="15"/>
  <c r="E8" i="15"/>
  <c r="C8" i="15"/>
  <c r="B8" i="15"/>
  <c r="F4" i="15"/>
  <c r="G4" i="15"/>
  <c r="H4" i="15"/>
  <c r="I4" i="15"/>
  <c r="J4" i="15"/>
  <c r="K4" i="15"/>
  <c r="L4" i="15"/>
  <c r="M4" i="15"/>
  <c r="N4" i="15"/>
  <c r="E4" i="15"/>
  <c r="C4" i="15"/>
  <c r="B4" i="15"/>
  <c r="N25" i="17"/>
  <c r="G22" i="17"/>
  <c r="K22" i="17"/>
  <c r="E23" i="17"/>
  <c r="I23" i="17"/>
  <c r="M23" i="17"/>
  <c r="E25" i="17"/>
  <c r="I25" i="17"/>
  <c r="M25" i="17"/>
  <c r="G26" i="17"/>
  <c r="K26" i="17"/>
  <c r="C25" i="17"/>
  <c r="C26" i="17"/>
  <c r="D12" i="16"/>
  <c r="E12" i="16"/>
  <c r="F12" i="16"/>
  <c r="G12" i="16"/>
  <c r="H12" i="16"/>
  <c r="I12" i="16"/>
  <c r="J12" i="16"/>
  <c r="K12" i="16"/>
  <c r="L12" i="16"/>
  <c r="M12" i="16"/>
  <c r="N12" i="16"/>
  <c r="D13" i="16"/>
  <c r="E13" i="16"/>
  <c r="F13" i="16"/>
  <c r="G13" i="16"/>
  <c r="H13" i="16"/>
  <c r="I13" i="16"/>
  <c r="J13" i="16"/>
  <c r="K13" i="16"/>
  <c r="L13" i="16"/>
  <c r="M13" i="16"/>
  <c r="N13" i="16"/>
  <c r="C13" i="16"/>
  <c r="C12" i="16"/>
  <c r="D10" i="16"/>
  <c r="E10" i="16"/>
  <c r="F10" i="16"/>
  <c r="G10" i="16"/>
  <c r="H10" i="16"/>
  <c r="I10" i="16"/>
  <c r="J10" i="16"/>
  <c r="K10" i="16"/>
  <c r="L10" i="16"/>
  <c r="M10" i="16"/>
  <c r="N10" i="16"/>
  <c r="D11" i="16"/>
  <c r="E11" i="16"/>
  <c r="F11" i="16"/>
  <c r="G11" i="16"/>
  <c r="H11" i="16"/>
  <c r="I11" i="16"/>
  <c r="J11" i="16"/>
  <c r="K11" i="16"/>
  <c r="L11" i="16"/>
  <c r="M11" i="16"/>
  <c r="N11" i="16"/>
  <c r="C11" i="16"/>
  <c r="C10" i="16"/>
  <c r="M72" i="7"/>
  <c r="L72" i="7"/>
  <c r="K72" i="7"/>
  <c r="J72" i="7"/>
  <c r="I72" i="7"/>
  <c r="H72" i="7"/>
  <c r="G72" i="7"/>
  <c r="F72" i="7"/>
  <c r="E72" i="7"/>
  <c r="D72" i="7"/>
  <c r="C72" i="7"/>
  <c r="B72" i="7"/>
  <c r="M72" i="3"/>
  <c r="L72" i="3"/>
  <c r="K72" i="3"/>
  <c r="J72" i="3"/>
  <c r="I72" i="3"/>
  <c r="H72" i="3"/>
  <c r="G72" i="3"/>
  <c r="F72" i="3"/>
  <c r="E72" i="3"/>
  <c r="D72" i="3"/>
  <c r="C72" i="3"/>
  <c r="B72" i="3"/>
  <c r="M35" i="7"/>
  <c r="L35" i="7"/>
  <c r="K35" i="7"/>
  <c r="J35" i="7"/>
  <c r="I35" i="7"/>
  <c r="H35" i="7"/>
  <c r="G35" i="7"/>
  <c r="F35" i="7"/>
  <c r="E35" i="7"/>
  <c r="D35" i="7"/>
  <c r="C35" i="7"/>
  <c r="B35" i="7"/>
  <c r="M35" i="3"/>
  <c r="L35" i="3"/>
  <c r="K35" i="3"/>
  <c r="J35" i="3"/>
  <c r="I35" i="3"/>
  <c r="H35" i="3"/>
  <c r="G35" i="3"/>
  <c r="F35" i="3"/>
  <c r="E35" i="3"/>
  <c r="D35" i="3"/>
  <c r="C35" i="3"/>
  <c r="B35" i="3"/>
  <c r="M28" i="7"/>
  <c r="L28" i="7"/>
  <c r="K28" i="7"/>
  <c r="J28" i="7"/>
  <c r="I28" i="7"/>
  <c r="H28" i="7"/>
  <c r="G28" i="7"/>
  <c r="F28" i="7"/>
  <c r="E28" i="7"/>
  <c r="D28" i="7"/>
  <c r="C28" i="7"/>
  <c r="B28" i="7"/>
  <c r="M28" i="3"/>
  <c r="L28" i="3"/>
  <c r="K28" i="3"/>
  <c r="J28" i="3"/>
  <c r="I28" i="3"/>
  <c r="H28" i="3"/>
  <c r="G28" i="3"/>
  <c r="F28" i="3"/>
  <c r="E28" i="3"/>
  <c r="D28" i="3"/>
  <c r="C28" i="3"/>
  <c r="B28" i="3"/>
  <c r="M88" i="7"/>
  <c r="L88" i="7"/>
  <c r="K88" i="7"/>
  <c r="J88" i="7"/>
  <c r="I88" i="7"/>
  <c r="H88" i="7"/>
  <c r="G88" i="7"/>
  <c r="F88" i="7"/>
  <c r="E88" i="7"/>
  <c r="D88" i="7"/>
  <c r="C88" i="7"/>
  <c r="B88" i="7"/>
  <c r="M87" i="7"/>
  <c r="L87" i="7"/>
  <c r="K87" i="7"/>
  <c r="J87" i="7"/>
  <c r="I87" i="7"/>
  <c r="H87" i="7"/>
  <c r="G87" i="7"/>
  <c r="F87" i="7"/>
  <c r="E87" i="7"/>
  <c r="D87" i="7"/>
  <c r="C87" i="7"/>
  <c r="B87" i="7"/>
  <c r="M86" i="7"/>
  <c r="L86" i="7"/>
  <c r="K86" i="7"/>
  <c r="J86" i="7"/>
  <c r="I86" i="7"/>
  <c r="H86" i="7"/>
  <c r="G86" i="7"/>
  <c r="F86" i="7"/>
  <c r="E86" i="7"/>
  <c r="D86" i="7"/>
  <c r="C86" i="7"/>
  <c r="B86" i="7"/>
  <c r="M88" i="3"/>
  <c r="L88" i="3"/>
  <c r="K88" i="3"/>
  <c r="J88" i="3"/>
  <c r="I88" i="3"/>
  <c r="H88" i="3"/>
  <c r="G88" i="3"/>
  <c r="F88" i="3"/>
  <c r="E88" i="3"/>
  <c r="D88" i="3"/>
  <c r="C88" i="3"/>
  <c r="B88" i="3"/>
  <c r="M87" i="3"/>
  <c r="L87" i="3"/>
  <c r="K87" i="3"/>
  <c r="J87" i="3"/>
  <c r="I87" i="3"/>
  <c r="H87" i="3"/>
  <c r="G87" i="3"/>
  <c r="F87" i="3"/>
  <c r="E87" i="3"/>
  <c r="D87" i="3"/>
  <c r="C87" i="3"/>
  <c r="B87" i="3"/>
  <c r="M86" i="3"/>
  <c r="L86" i="3"/>
  <c r="K86" i="3"/>
  <c r="J86" i="3"/>
  <c r="I86" i="3"/>
  <c r="H86" i="3"/>
  <c r="G86" i="3"/>
  <c r="F86" i="3"/>
  <c r="E86" i="3"/>
  <c r="D86" i="3"/>
  <c r="C86" i="3"/>
  <c r="B86" i="3"/>
  <c r="M82" i="7"/>
  <c r="L82" i="7"/>
  <c r="K82" i="7"/>
  <c r="J82" i="7"/>
  <c r="I82" i="7"/>
  <c r="H82" i="7"/>
  <c r="G82" i="7"/>
  <c r="F82" i="7"/>
  <c r="E82" i="7"/>
  <c r="D82" i="7"/>
  <c r="C82" i="7"/>
  <c r="B82" i="7"/>
  <c r="M81" i="7"/>
  <c r="L81" i="7"/>
  <c r="K81" i="7"/>
  <c r="J81" i="7"/>
  <c r="I81" i="7"/>
  <c r="H81" i="7"/>
  <c r="G81" i="7"/>
  <c r="F81" i="7"/>
  <c r="E81" i="7"/>
  <c r="D81" i="7"/>
  <c r="C81" i="7"/>
  <c r="B81" i="7"/>
  <c r="M82" i="3"/>
  <c r="L82" i="3"/>
  <c r="K82" i="3"/>
  <c r="J82" i="3"/>
  <c r="I82" i="3"/>
  <c r="H82" i="3"/>
  <c r="G82" i="3"/>
  <c r="F82" i="3"/>
  <c r="E82" i="3"/>
  <c r="D82" i="3"/>
  <c r="C82" i="3"/>
  <c r="B82" i="3"/>
  <c r="M81" i="3"/>
  <c r="L81" i="3"/>
  <c r="K81" i="3"/>
  <c r="J81" i="3"/>
  <c r="I81" i="3"/>
  <c r="H81" i="3"/>
  <c r="G81" i="3"/>
  <c r="F81" i="3"/>
  <c r="E81" i="3"/>
  <c r="D81" i="3"/>
  <c r="C81" i="3"/>
  <c r="B81" i="3"/>
  <c r="M80" i="7"/>
  <c r="L80" i="7"/>
  <c r="K80" i="7"/>
  <c r="J80" i="7"/>
  <c r="I80" i="7"/>
  <c r="H80" i="7"/>
  <c r="G80" i="7"/>
  <c r="F80" i="7"/>
  <c r="E80" i="7"/>
  <c r="D80" i="7"/>
  <c r="C80" i="7"/>
  <c r="B80" i="7"/>
  <c r="M79" i="7"/>
  <c r="L79" i="7"/>
  <c r="K79" i="7"/>
  <c r="J79" i="7"/>
  <c r="I79" i="7"/>
  <c r="H79" i="7"/>
  <c r="G79" i="7"/>
  <c r="F79" i="7"/>
  <c r="E79" i="7"/>
  <c r="D79" i="7"/>
  <c r="C79" i="7"/>
  <c r="B79" i="7"/>
  <c r="M78" i="7"/>
  <c r="L78" i="7"/>
  <c r="K78" i="7"/>
  <c r="J78" i="7"/>
  <c r="I78" i="7"/>
  <c r="H78" i="7"/>
  <c r="G78" i="7"/>
  <c r="F78" i="7"/>
  <c r="E78" i="7"/>
  <c r="D78" i="7"/>
  <c r="C78" i="7"/>
  <c r="B78" i="7"/>
  <c r="M77" i="7"/>
  <c r="L77" i="7"/>
  <c r="K77" i="7"/>
  <c r="J77" i="7"/>
  <c r="I77" i="7"/>
  <c r="H77" i="7"/>
  <c r="G77" i="7"/>
  <c r="F77" i="7"/>
  <c r="E77" i="7"/>
  <c r="D77" i="7"/>
  <c r="C77" i="7"/>
  <c r="B77" i="7"/>
  <c r="M80" i="3"/>
  <c r="L80" i="3"/>
  <c r="K80" i="3"/>
  <c r="J80" i="3"/>
  <c r="I80" i="3"/>
  <c r="H80" i="3"/>
  <c r="G80" i="3"/>
  <c r="F80" i="3"/>
  <c r="E80" i="3"/>
  <c r="D80" i="3"/>
  <c r="C80" i="3"/>
  <c r="B80" i="3"/>
  <c r="M79" i="3"/>
  <c r="L79" i="3"/>
  <c r="K79" i="3"/>
  <c r="J79" i="3"/>
  <c r="I79" i="3"/>
  <c r="H79" i="3"/>
  <c r="G79" i="3"/>
  <c r="F79" i="3"/>
  <c r="E79" i="3"/>
  <c r="D79" i="3"/>
  <c r="C79" i="3"/>
  <c r="B79" i="3"/>
  <c r="M78" i="3"/>
  <c r="L78" i="3"/>
  <c r="K78" i="3"/>
  <c r="J78" i="3"/>
  <c r="I78" i="3"/>
  <c r="H78" i="3"/>
  <c r="G78" i="3"/>
  <c r="F78" i="3"/>
  <c r="E78" i="3"/>
  <c r="D78" i="3"/>
  <c r="C78" i="3"/>
  <c r="B78" i="3"/>
  <c r="M77" i="3"/>
  <c r="L77" i="3"/>
  <c r="K77" i="3"/>
  <c r="J77" i="3"/>
  <c r="I77" i="3"/>
  <c r="H77" i="3"/>
  <c r="G77" i="3"/>
  <c r="F77" i="3"/>
  <c r="E77" i="3"/>
  <c r="D77" i="3"/>
  <c r="C77" i="3"/>
  <c r="B77" i="3"/>
  <c r="M67" i="7"/>
  <c r="L67" i="7"/>
  <c r="K67" i="7"/>
  <c r="J67" i="7"/>
  <c r="I67" i="7"/>
  <c r="H67" i="7"/>
  <c r="G67" i="7"/>
  <c r="F67" i="7"/>
  <c r="E67" i="7"/>
  <c r="D67" i="7"/>
  <c r="C67" i="7"/>
  <c r="B67" i="7"/>
  <c r="M66" i="7"/>
  <c r="L66" i="7"/>
  <c r="K66" i="7"/>
  <c r="J66" i="7"/>
  <c r="I66" i="7"/>
  <c r="H66" i="7"/>
  <c r="G66" i="7"/>
  <c r="F66" i="7"/>
  <c r="E66" i="7"/>
  <c r="D66" i="7"/>
  <c r="C66" i="7"/>
  <c r="B66" i="7"/>
  <c r="M64" i="7"/>
  <c r="L64" i="7"/>
  <c r="K64" i="7"/>
  <c r="J64" i="7"/>
  <c r="I64" i="7"/>
  <c r="H64" i="7"/>
  <c r="G64" i="7"/>
  <c r="F64" i="7"/>
  <c r="E64" i="7"/>
  <c r="D64" i="7"/>
  <c r="C64" i="7"/>
  <c r="B64" i="7"/>
  <c r="M67" i="3"/>
  <c r="L67" i="3"/>
  <c r="K67" i="3"/>
  <c r="J67" i="3"/>
  <c r="I67" i="3"/>
  <c r="H67" i="3"/>
  <c r="G67" i="3"/>
  <c r="F67" i="3"/>
  <c r="E67" i="3"/>
  <c r="D67" i="3"/>
  <c r="C67" i="3"/>
  <c r="B67" i="3"/>
  <c r="M66" i="3"/>
  <c r="L66" i="3"/>
  <c r="K66" i="3"/>
  <c r="J66" i="3"/>
  <c r="I66" i="3"/>
  <c r="H66" i="3"/>
  <c r="G66" i="3"/>
  <c r="F66" i="3"/>
  <c r="E66" i="3"/>
  <c r="D66" i="3"/>
  <c r="C66" i="3"/>
  <c r="B66" i="3"/>
  <c r="M64" i="3"/>
  <c r="L64" i="3"/>
  <c r="K64" i="3"/>
  <c r="J64" i="3"/>
  <c r="I64" i="3"/>
  <c r="H64" i="3"/>
  <c r="G64" i="3"/>
  <c r="F64" i="3"/>
  <c r="E64" i="3"/>
  <c r="D64" i="3"/>
  <c r="C64" i="3"/>
  <c r="B64" i="3"/>
  <c r="M47" i="7"/>
  <c r="L47" i="7"/>
  <c r="K47" i="7"/>
  <c r="J47" i="7"/>
  <c r="I47" i="7"/>
  <c r="H47" i="7"/>
  <c r="G47" i="7"/>
  <c r="F47" i="7"/>
  <c r="E47" i="7"/>
  <c r="D47" i="7"/>
  <c r="C47" i="7"/>
  <c r="B47" i="7"/>
  <c r="M47" i="3"/>
  <c r="L47" i="3"/>
  <c r="K47" i="3"/>
  <c r="J47" i="3"/>
  <c r="I47" i="3"/>
  <c r="H47" i="3"/>
  <c r="G47" i="3"/>
  <c r="F47" i="3"/>
  <c r="E47" i="3"/>
  <c r="D47" i="3"/>
  <c r="C47" i="3"/>
  <c r="B47" i="3"/>
  <c r="M53" i="7"/>
  <c r="L53" i="7"/>
  <c r="K53" i="7"/>
  <c r="J53" i="7"/>
  <c r="I53" i="7"/>
  <c r="H53" i="7"/>
  <c r="G53" i="7"/>
  <c r="F53" i="7"/>
  <c r="E53" i="7"/>
  <c r="D53" i="7"/>
  <c r="C53" i="7"/>
  <c r="B53" i="7"/>
  <c r="M52" i="7"/>
  <c r="L52" i="7"/>
  <c r="K52" i="7"/>
  <c r="J52" i="7"/>
  <c r="I52" i="7"/>
  <c r="H52" i="7"/>
  <c r="G52" i="7"/>
  <c r="F52" i="7"/>
  <c r="E52" i="7"/>
  <c r="D52" i="7"/>
  <c r="C52" i="7"/>
  <c r="B52" i="7"/>
  <c r="M51" i="7"/>
  <c r="L51" i="7"/>
  <c r="K51" i="7"/>
  <c r="J51" i="7"/>
  <c r="I51" i="7"/>
  <c r="H51" i="7"/>
  <c r="G51" i="7"/>
  <c r="F51" i="7"/>
  <c r="E51" i="7"/>
  <c r="D51" i="7"/>
  <c r="C51" i="7"/>
  <c r="B51" i="7"/>
  <c r="M53" i="3"/>
  <c r="L53" i="3"/>
  <c r="K53" i="3"/>
  <c r="J53" i="3"/>
  <c r="I53" i="3"/>
  <c r="H53" i="3"/>
  <c r="G53" i="3"/>
  <c r="F53" i="3"/>
  <c r="E53" i="3"/>
  <c r="D53" i="3"/>
  <c r="C53" i="3"/>
  <c r="B53" i="3"/>
  <c r="M52" i="3"/>
  <c r="L52" i="3"/>
  <c r="K52" i="3"/>
  <c r="J52" i="3"/>
  <c r="I52" i="3"/>
  <c r="H52" i="3"/>
  <c r="G52" i="3"/>
  <c r="F52" i="3"/>
  <c r="E52" i="3"/>
  <c r="D52" i="3"/>
  <c r="C52" i="3"/>
  <c r="B52" i="3"/>
  <c r="M51" i="3"/>
  <c r="L51" i="3"/>
  <c r="K51" i="3"/>
  <c r="J51" i="3"/>
  <c r="I51" i="3"/>
  <c r="H51" i="3"/>
  <c r="G51" i="3"/>
  <c r="F51" i="3"/>
  <c r="E51" i="3"/>
  <c r="D51" i="3"/>
  <c r="C51" i="3"/>
  <c r="B51" i="3"/>
  <c r="M45" i="7"/>
  <c r="L45" i="7"/>
  <c r="K45" i="7"/>
  <c r="J45" i="7"/>
  <c r="I45" i="7"/>
  <c r="H45" i="7"/>
  <c r="G45" i="7"/>
  <c r="F45" i="7"/>
  <c r="E45" i="7"/>
  <c r="D45" i="7"/>
  <c r="C45" i="7"/>
  <c r="B45" i="7"/>
  <c r="M46" i="7"/>
  <c r="L46" i="7"/>
  <c r="K46" i="7"/>
  <c r="J46" i="7"/>
  <c r="I46" i="7"/>
  <c r="H46" i="7"/>
  <c r="G46" i="7"/>
  <c r="F46" i="7"/>
  <c r="E46" i="7"/>
  <c r="D46" i="7"/>
  <c r="C46" i="7"/>
  <c r="B46" i="7"/>
  <c r="M46" i="3"/>
  <c r="L46" i="3"/>
  <c r="K46" i="3"/>
  <c r="J46" i="3"/>
  <c r="I46" i="3"/>
  <c r="H46" i="3"/>
  <c r="G46" i="3"/>
  <c r="F46" i="3"/>
  <c r="E46" i="3"/>
  <c r="D46" i="3"/>
  <c r="C46" i="3"/>
  <c r="B46" i="3"/>
  <c r="M45" i="3"/>
  <c r="L45" i="3"/>
  <c r="K45" i="3"/>
  <c r="J45" i="3"/>
  <c r="I45" i="3"/>
  <c r="H45" i="3"/>
  <c r="G45" i="3"/>
  <c r="F45" i="3"/>
  <c r="E45" i="3"/>
  <c r="D45" i="3"/>
  <c r="C45" i="3"/>
  <c r="B45" i="3"/>
  <c r="M43" i="7"/>
  <c r="L43" i="7"/>
  <c r="K43" i="7"/>
  <c r="J43" i="7"/>
  <c r="I43" i="7"/>
  <c r="H43" i="7"/>
  <c r="G43" i="7"/>
  <c r="F43" i="7"/>
  <c r="E43" i="7"/>
  <c r="D43" i="7"/>
  <c r="C43" i="7"/>
  <c r="B43" i="7"/>
  <c r="M43" i="3"/>
  <c r="L43" i="3"/>
  <c r="K43" i="3"/>
  <c r="J43" i="3"/>
  <c r="I43" i="3"/>
  <c r="H43" i="3"/>
  <c r="G43" i="3"/>
  <c r="F43" i="3"/>
  <c r="E43" i="3"/>
  <c r="D43" i="3"/>
  <c r="C43" i="3"/>
  <c r="B43" i="3"/>
  <c r="M30" i="7"/>
  <c r="L30" i="7"/>
  <c r="K30" i="7"/>
  <c r="J30" i="7"/>
  <c r="I30" i="7"/>
  <c r="H30" i="7"/>
  <c r="G30" i="7"/>
  <c r="F30" i="7"/>
  <c r="E30" i="7"/>
  <c r="D30" i="7"/>
  <c r="C30" i="7"/>
  <c r="B30" i="7"/>
  <c r="M30" i="3"/>
  <c r="L30" i="3"/>
  <c r="K30" i="3"/>
  <c r="J30" i="3"/>
  <c r="I30" i="3"/>
  <c r="H30" i="3"/>
  <c r="G30" i="3"/>
  <c r="F30" i="3"/>
  <c r="E30" i="3"/>
  <c r="D30" i="3"/>
  <c r="C30" i="3"/>
  <c r="B30" i="3"/>
  <c r="D43" i="17"/>
  <c r="E43" i="17"/>
  <c r="F43" i="17"/>
  <c r="G43" i="17"/>
  <c r="H43" i="17"/>
  <c r="I43" i="17"/>
  <c r="J43" i="17"/>
  <c r="K43" i="17"/>
  <c r="L43" i="17"/>
  <c r="M43" i="17"/>
  <c r="N43" i="17"/>
  <c r="D44" i="17"/>
  <c r="E44" i="17"/>
  <c r="F44" i="17"/>
  <c r="G44" i="17"/>
  <c r="H44" i="17"/>
  <c r="I44" i="17"/>
  <c r="J44" i="17"/>
  <c r="K44" i="17"/>
  <c r="L44" i="17"/>
  <c r="M44" i="17"/>
  <c r="N44" i="17"/>
  <c r="C44" i="17"/>
  <c r="C43" i="17"/>
  <c r="D41" i="17"/>
  <c r="E41" i="17"/>
  <c r="F41" i="17"/>
  <c r="G41" i="17"/>
  <c r="H41" i="17"/>
  <c r="I41" i="17"/>
  <c r="J41" i="17"/>
  <c r="K41" i="17"/>
  <c r="L41" i="17"/>
  <c r="M41" i="17"/>
  <c r="N41" i="17"/>
  <c r="D42" i="17"/>
  <c r="E42" i="17"/>
  <c r="F42" i="17"/>
  <c r="G42" i="17"/>
  <c r="H42" i="17"/>
  <c r="I42" i="17"/>
  <c r="J42" i="17"/>
  <c r="K42" i="17"/>
  <c r="L42" i="17"/>
  <c r="M42" i="17"/>
  <c r="N42" i="17"/>
  <c r="C42" i="17"/>
  <c r="C41" i="17"/>
  <c r="D39" i="17"/>
  <c r="E39" i="17"/>
  <c r="F39" i="17"/>
  <c r="G39" i="17"/>
  <c r="H39" i="17"/>
  <c r="I39" i="17"/>
  <c r="J39" i="17"/>
  <c r="K39" i="17"/>
  <c r="L39" i="17"/>
  <c r="M39" i="17"/>
  <c r="N39" i="17"/>
  <c r="D40" i="17"/>
  <c r="E40" i="17"/>
  <c r="F40" i="17"/>
  <c r="G40" i="17"/>
  <c r="H40" i="17"/>
  <c r="I40" i="17"/>
  <c r="J40" i="17"/>
  <c r="K40" i="17"/>
  <c r="L40" i="17"/>
  <c r="M40" i="17"/>
  <c r="N40" i="17"/>
  <c r="C40" i="17"/>
  <c r="C39" i="17"/>
  <c r="D36" i="17"/>
  <c r="E36" i="17"/>
  <c r="F36" i="17"/>
  <c r="G36" i="17"/>
  <c r="H36" i="17"/>
  <c r="I36" i="17"/>
  <c r="J36" i="17"/>
  <c r="K36" i="17"/>
  <c r="L36" i="17"/>
  <c r="M36" i="17"/>
  <c r="N36" i="17"/>
  <c r="D37" i="17"/>
  <c r="E37" i="17"/>
  <c r="F37" i="17"/>
  <c r="G37" i="17"/>
  <c r="H37" i="17"/>
  <c r="I37" i="17"/>
  <c r="J37" i="17"/>
  <c r="K37" i="17"/>
  <c r="L37" i="17"/>
  <c r="M37" i="17"/>
  <c r="N37" i="17"/>
  <c r="D38" i="17"/>
  <c r="E38" i="17"/>
  <c r="F38" i="17"/>
  <c r="G38" i="17"/>
  <c r="H38" i="17"/>
  <c r="I38" i="17"/>
  <c r="J38" i="17"/>
  <c r="K38" i="17"/>
  <c r="L38" i="17"/>
  <c r="M38" i="17"/>
  <c r="N38" i="17"/>
  <c r="C37" i="17"/>
  <c r="C38" i="17"/>
  <c r="C36" i="17"/>
  <c r="D35" i="17"/>
  <c r="E35" i="17"/>
  <c r="F35" i="17"/>
  <c r="G35" i="17"/>
  <c r="H35" i="17"/>
  <c r="I35" i="17"/>
  <c r="J35" i="17"/>
  <c r="K35" i="17"/>
  <c r="L35" i="17"/>
  <c r="M35" i="17"/>
  <c r="N35" i="17"/>
  <c r="C35" i="17"/>
  <c r="D30" i="17"/>
  <c r="E30" i="17"/>
  <c r="F30" i="17"/>
  <c r="G30" i="17"/>
  <c r="H30" i="17"/>
  <c r="I30" i="17"/>
  <c r="J30" i="17"/>
  <c r="K30" i="17"/>
  <c r="L30" i="17"/>
  <c r="M30" i="17"/>
  <c r="N30" i="17"/>
  <c r="D31" i="17"/>
  <c r="E31" i="17"/>
  <c r="F31" i="17"/>
  <c r="G31" i="17"/>
  <c r="H31" i="17"/>
  <c r="I31" i="17"/>
  <c r="J31" i="17"/>
  <c r="K31" i="17"/>
  <c r="L31" i="17"/>
  <c r="M31" i="17"/>
  <c r="N31" i="17"/>
  <c r="D32" i="17"/>
  <c r="E32" i="17"/>
  <c r="F32" i="17"/>
  <c r="G32" i="17"/>
  <c r="H32" i="17"/>
  <c r="I32" i="17"/>
  <c r="J32" i="17"/>
  <c r="K32" i="17"/>
  <c r="L32" i="17"/>
  <c r="M32" i="17"/>
  <c r="N32" i="17"/>
  <c r="D33" i="17"/>
  <c r="E33" i="17"/>
  <c r="F33" i="17"/>
  <c r="G33" i="17"/>
  <c r="H33" i="17"/>
  <c r="I33" i="17"/>
  <c r="J33" i="17"/>
  <c r="K33" i="17"/>
  <c r="L33" i="17"/>
  <c r="M33" i="17"/>
  <c r="N33" i="17"/>
  <c r="D34" i="17"/>
  <c r="E34" i="17"/>
  <c r="F34" i="17"/>
  <c r="G34" i="17"/>
  <c r="H34" i="17"/>
  <c r="I34" i="17"/>
  <c r="J34" i="17"/>
  <c r="K34" i="17"/>
  <c r="L34" i="17"/>
  <c r="M34" i="17"/>
  <c r="N34" i="17"/>
  <c r="C31" i="17"/>
  <c r="C32" i="17"/>
  <c r="C33" i="17"/>
  <c r="C34" i="17"/>
  <c r="C30" i="17"/>
  <c r="D27" i="17"/>
  <c r="E27" i="17"/>
  <c r="F27" i="17"/>
  <c r="G27" i="17"/>
  <c r="H27" i="17"/>
  <c r="I27" i="17"/>
  <c r="J27" i="17"/>
  <c r="K27" i="17"/>
  <c r="L27" i="17"/>
  <c r="M27" i="17"/>
  <c r="N27" i="17"/>
  <c r="D28" i="17"/>
  <c r="E28" i="17"/>
  <c r="F28" i="17"/>
  <c r="G28" i="17"/>
  <c r="H28" i="17"/>
  <c r="I28" i="17"/>
  <c r="J28" i="17"/>
  <c r="K28" i="17"/>
  <c r="L28" i="17"/>
  <c r="M28" i="17"/>
  <c r="N28" i="17"/>
  <c r="D29" i="17"/>
  <c r="E29" i="17"/>
  <c r="F29" i="17"/>
  <c r="G29" i="17"/>
  <c r="H29" i="17"/>
  <c r="I29" i="17"/>
  <c r="J29" i="17"/>
  <c r="K29" i="17"/>
  <c r="L29" i="17"/>
  <c r="M29" i="17"/>
  <c r="N29" i="17"/>
  <c r="C28" i="17"/>
  <c r="C29" i="17"/>
  <c r="C27" i="17"/>
  <c r="D22" i="17"/>
  <c r="E22" i="17"/>
  <c r="F22" i="17"/>
  <c r="H22" i="17"/>
  <c r="I22" i="17"/>
  <c r="J22" i="17"/>
  <c r="L22" i="17"/>
  <c r="M22" i="17"/>
  <c r="N22" i="17"/>
  <c r="D23" i="17"/>
  <c r="F23" i="17"/>
  <c r="G23" i="17"/>
  <c r="H23" i="17"/>
  <c r="J23" i="17"/>
  <c r="K23" i="17"/>
  <c r="L23" i="17"/>
  <c r="N23" i="17"/>
  <c r="D24" i="17"/>
  <c r="E24" i="17"/>
  <c r="F24" i="17"/>
  <c r="G24" i="17"/>
  <c r="H24" i="17"/>
  <c r="I24" i="17"/>
  <c r="J24" i="17"/>
  <c r="K24" i="17"/>
  <c r="L24" i="17"/>
  <c r="M24" i="17"/>
  <c r="N24" i="17"/>
  <c r="D25" i="17"/>
  <c r="F25" i="17"/>
  <c r="G25" i="17"/>
  <c r="H25" i="17"/>
  <c r="J25" i="17"/>
  <c r="K25" i="17"/>
  <c r="L25" i="17"/>
  <c r="D26" i="17"/>
  <c r="E26" i="17"/>
  <c r="F26" i="17"/>
  <c r="H26" i="17"/>
  <c r="I26" i="17"/>
  <c r="J26" i="17"/>
  <c r="L26" i="17"/>
  <c r="M26" i="17"/>
  <c r="N26" i="17"/>
  <c r="C23" i="17"/>
  <c r="C24" i="17"/>
  <c r="C22" i="17"/>
  <c r="D18" i="17"/>
  <c r="E18" i="17"/>
  <c r="F18" i="17"/>
  <c r="G18" i="17"/>
  <c r="H18" i="17"/>
  <c r="I18" i="17"/>
  <c r="J18" i="17"/>
  <c r="K18" i="17"/>
  <c r="L18" i="17"/>
  <c r="M18" i="17"/>
  <c r="N18" i="17"/>
  <c r="D19" i="17"/>
  <c r="E19" i="17"/>
  <c r="F19" i="17"/>
  <c r="G19" i="17"/>
  <c r="H19" i="17"/>
  <c r="I19" i="17"/>
  <c r="J19" i="17"/>
  <c r="K19" i="17"/>
  <c r="L19" i="17"/>
  <c r="M19" i="17"/>
  <c r="N19" i="17"/>
  <c r="D20" i="17"/>
  <c r="E20" i="17"/>
  <c r="F20" i="17"/>
  <c r="G20" i="17"/>
  <c r="H20" i="17"/>
  <c r="I20" i="17"/>
  <c r="J20" i="17"/>
  <c r="K20" i="17"/>
  <c r="L20" i="17"/>
  <c r="M20" i="17"/>
  <c r="N20" i="17"/>
  <c r="D21" i="17"/>
  <c r="E21" i="17"/>
  <c r="F21" i="17"/>
  <c r="G21" i="17"/>
  <c r="H21" i="17"/>
  <c r="I21" i="17"/>
  <c r="J21" i="17"/>
  <c r="K21" i="17"/>
  <c r="L21" i="17"/>
  <c r="M21" i="17"/>
  <c r="N21" i="17"/>
  <c r="C19" i="17"/>
  <c r="C20" i="17"/>
  <c r="C21" i="17"/>
  <c r="C18" i="17"/>
  <c r="D17" i="17"/>
  <c r="E17" i="17"/>
  <c r="F17" i="17"/>
  <c r="G17" i="17"/>
  <c r="H17" i="17"/>
  <c r="I17" i="17"/>
  <c r="J17" i="17"/>
  <c r="K17" i="17"/>
  <c r="L17" i="17"/>
  <c r="M17" i="17"/>
  <c r="N17" i="17"/>
  <c r="C17" i="17"/>
  <c r="D15" i="17"/>
  <c r="E15" i="17"/>
  <c r="F15" i="17"/>
  <c r="G15" i="17"/>
  <c r="H15" i="17"/>
  <c r="I15" i="17"/>
  <c r="J15" i="17"/>
  <c r="K15" i="17"/>
  <c r="L15" i="17"/>
  <c r="M15" i="17"/>
  <c r="N15" i="17"/>
  <c r="D16" i="17"/>
  <c r="E16" i="17"/>
  <c r="F16" i="17"/>
  <c r="G16" i="17"/>
  <c r="H16" i="17"/>
  <c r="I16" i="17"/>
  <c r="J16" i="17"/>
  <c r="K16" i="17"/>
  <c r="L16" i="17"/>
  <c r="M16" i="17"/>
  <c r="N16" i="17"/>
  <c r="C16" i="17"/>
  <c r="C15" i="17"/>
  <c r="D14" i="17"/>
  <c r="E14" i="17"/>
  <c r="F14" i="17"/>
  <c r="G14" i="17"/>
  <c r="H14" i="17"/>
  <c r="I14" i="17"/>
  <c r="J14" i="17"/>
  <c r="K14" i="17"/>
  <c r="L14" i="17"/>
  <c r="M14" i="17"/>
  <c r="N14" i="17"/>
  <c r="C14" i="17"/>
  <c r="D10" i="17"/>
  <c r="E10" i="17"/>
  <c r="F10" i="17"/>
  <c r="G10" i="17"/>
  <c r="H10" i="17"/>
  <c r="I10" i="17"/>
  <c r="J10" i="17"/>
  <c r="K10" i="17"/>
  <c r="L10" i="17"/>
  <c r="M10" i="17"/>
  <c r="N10" i="17"/>
  <c r="C10" i="17"/>
  <c r="D9" i="17"/>
  <c r="E9" i="17"/>
  <c r="F9" i="17"/>
  <c r="G9" i="17"/>
  <c r="H9" i="17"/>
  <c r="I9" i="17"/>
  <c r="J9" i="17"/>
  <c r="K9" i="17"/>
  <c r="L9" i="17"/>
  <c r="M9" i="17"/>
  <c r="N9" i="17"/>
  <c r="C9" i="17"/>
  <c r="D13" i="17"/>
  <c r="E13" i="17"/>
  <c r="F13" i="17"/>
  <c r="G13" i="17"/>
  <c r="H13" i="17"/>
  <c r="I13" i="17"/>
  <c r="J13" i="17"/>
  <c r="K13" i="17"/>
  <c r="L13" i="17"/>
  <c r="M13" i="17"/>
  <c r="N13" i="17"/>
  <c r="C13" i="17"/>
  <c r="D12" i="17"/>
  <c r="E12" i="17"/>
  <c r="F12" i="17"/>
  <c r="G12" i="17"/>
  <c r="H12" i="17"/>
  <c r="I12" i="17"/>
  <c r="J12" i="17"/>
  <c r="K12" i="17"/>
  <c r="L12" i="17"/>
  <c r="M12" i="17"/>
  <c r="N12" i="17"/>
  <c r="C12" i="17"/>
  <c r="D11" i="17"/>
  <c r="E11" i="17"/>
  <c r="F11" i="17"/>
  <c r="G11" i="17"/>
  <c r="H11" i="17"/>
  <c r="I11" i="17"/>
  <c r="J11" i="17"/>
  <c r="K11" i="17"/>
  <c r="L11" i="17"/>
  <c r="M11" i="17"/>
  <c r="N11" i="17"/>
  <c r="C11" i="17"/>
  <c r="D52" i="16"/>
  <c r="E52" i="16"/>
  <c r="F52" i="16"/>
  <c r="G52" i="16"/>
  <c r="H52" i="16"/>
  <c r="I52" i="16"/>
  <c r="J52" i="16"/>
  <c r="K52" i="16"/>
  <c r="L52" i="16"/>
  <c r="M52" i="16"/>
  <c r="N52" i="16"/>
  <c r="D53" i="16"/>
  <c r="E53" i="16"/>
  <c r="F53" i="16"/>
  <c r="G53" i="16"/>
  <c r="H53" i="16"/>
  <c r="I53" i="16"/>
  <c r="J53" i="16"/>
  <c r="K53" i="16"/>
  <c r="L53" i="16"/>
  <c r="M53" i="16"/>
  <c r="N53" i="16"/>
  <c r="D54" i="16"/>
  <c r="E54" i="16"/>
  <c r="F54" i="16"/>
  <c r="G54" i="16"/>
  <c r="H54" i="16"/>
  <c r="I54" i="16"/>
  <c r="J54" i="16"/>
  <c r="K54" i="16"/>
  <c r="L54" i="16"/>
  <c r="M54" i="16"/>
  <c r="N54" i="16"/>
  <c r="C53" i="16"/>
  <c r="C54" i="16"/>
  <c r="C52" i="16"/>
  <c r="D58" i="16"/>
  <c r="E58" i="16"/>
  <c r="F58" i="16"/>
  <c r="G58" i="16"/>
  <c r="H58" i="16"/>
  <c r="I58" i="16"/>
  <c r="J58" i="16"/>
  <c r="K58" i="16"/>
  <c r="L58" i="16"/>
  <c r="M58" i="16"/>
  <c r="N58" i="16"/>
  <c r="D59" i="16"/>
  <c r="E59" i="16"/>
  <c r="F59" i="16"/>
  <c r="G59" i="16"/>
  <c r="H59" i="16"/>
  <c r="I59" i="16"/>
  <c r="J59" i="16"/>
  <c r="K59" i="16"/>
  <c r="L59" i="16"/>
  <c r="M59" i="16"/>
  <c r="N59" i="16"/>
  <c r="C59" i="16"/>
  <c r="C58" i="16"/>
  <c r="N55" i="16"/>
  <c r="N56" i="16"/>
  <c r="N57" i="16"/>
  <c r="D55" i="16"/>
  <c r="E55" i="16"/>
  <c r="F55" i="16"/>
  <c r="G55" i="16"/>
  <c r="H55" i="16"/>
  <c r="I55" i="16"/>
  <c r="J55" i="16"/>
  <c r="K55" i="16"/>
  <c r="L55" i="16"/>
  <c r="M55" i="16"/>
  <c r="D56" i="16"/>
  <c r="E56" i="16"/>
  <c r="F56" i="16"/>
  <c r="G56" i="16"/>
  <c r="H56" i="16"/>
  <c r="I56" i="16"/>
  <c r="J56" i="16"/>
  <c r="K56" i="16"/>
  <c r="L56" i="16"/>
  <c r="M56" i="16"/>
  <c r="D57" i="16"/>
  <c r="E57" i="16"/>
  <c r="F57" i="16"/>
  <c r="G57" i="16"/>
  <c r="H57" i="16"/>
  <c r="I57" i="16"/>
  <c r="J57" i="16"/>
  <c r="K57" i="16"/>
  <c r="L57" i="16"/>
  <c r="M57" i="16"/>
  <c r="C56" i="16"/>
  <c r="C57" i="16"/>
  <c r="C55" i="16"/>
  <c r="D48" i="16"/>
  <c r="E48" i="16"/>
  <c r="F48" i="16"/>
  <c r="G48" i="16"/>
  <c r="H48" i="16"/>
  <c r="I48" i="16"/>
  <c r="J48" i="16"/>
  <c r="K48" i="16"/>
  <c r="L48" i="16"/>
  <c r="M48" i="16"/>
  <c r="N48" i="16"/>
  <c r="D49" i="16"/>
  <c r="E49" i="16"/>
  <c r="F49" i="16"/>
  <c r="G49" i="16"/>
  <c r="H49" i="16"/>
  <c r="I49" i="16"/>
  <c r="J49" i="16"/>
  <c r="K49" i="16"/>
  <c r="L49" i="16"/>
  <c r="M49" i="16"/>
  <c r="N49" i="16"/>
  <c r="D50" i="16"/>
  <c r="E50" i="16"/>
  <c r="F50" i="16"/>
  <c r="G50" i="16"/>
  <c r="H50" i="16"/>
  <c r="I50" i="16"/>
  <c r="J50" i="16"/>
  <c r="K50" i="16"/>
  <c r="L50" i="16"/>
  <c r="M50" i="16"/>
  <c r="N50" i="16"/>
  <c r="D51" i="16"/>
  <c r="E51" i="16"/>
  <c r="F51" i="16"/>
  <c r="G51" i="16"/>
  <c r="H51" i="16"/>
  <c r="I51" i="16"/>
  <c r="J51" i="16"/>
  <c r="K51" i="16"/>
  <c r="L51" i="16"/>
  <c r="M51" i="16"/>
  <c r="N51" i="16"/>
  <c r="C49" i="16"/>
  <c r="C50" i="16"/>
  <c r="C51" i="16"/>
  <c r="C48" i="16"/>
  <c r="D47" i="16"/>
  <c r="E47" i="16"/>
  <c r="F47" i="16"/>
  <c r="G47" i="16"/>
  <c r="H47" i="16"/>
  <c r="I47" i="16"/>
  <c r="J47" i="16"/>
  <c r="K47" i="16"/>
  <c r="L47" i="16"/>
  <c r="M47" i="16"/>
  <c r="N47" i="16"/>
  <c r="C47" i="16"/>
  <c r="D41" i="16"/>
  <c r="E41" i="16"/>
  <c r="F41" i="16"/>
  <c r="G41" i="16"/>
  <c r="H41" i="16"/>
  <c r="I41" i="16"/>
  <c r="J41" i="16"/>
  <c r="K41" i="16"/>
  <c r="L41" i="16"/>
  <c r="M41" i="16"/>
  <c r="N41" i="16"/>
  <c r="D42" i="16"/>
  <c r="E42" i="16"/>
  <c r="F42" i="16"/>
  <c r="G42" i="16"/>
  <c r="H42" i="16"/>
  <c r="I42" i="16"/>
  <c r="J42" i="16"/>
  <c r="K42" i="16"/>
  <c r="L42" i="16"/>
  <c r="M42" i="16"/>
  <c r="N42" i="16"/>
  <c r="D43" i="16"/>
  <c r="E43" i="16"/>
  <c r="F43" i="16"/>
  <c r="G43" i="16"/>
  <c r="H43" i="16"/>
  <c r="I43" i="16"/>
  <c r="J43" i="16"/>
  <c r="K43" i="16"/>
  <c r="L43" i="16"/>
  <c r="M43" i="16"/>
  <c r="N43" i="16"/>
  <c r="D44" i="16"/>
  <c r="E44" i="16"/>
  <c r="F44" i="16"/>
  <c r="G44" i="16"/>
  <c r="H44" i="16"/>
  <c r="I44" i="16"/>
  <c r="J44" i="16"/>
  <c r="K44" i="16"/>
  <c r="L44" i="16"/>
  <c r="M44" i="16"/>
  <c r="N44" i="16"/>
  <c r="D45" i="16"/>
  <c r="E45" i="16"/>
  <c r="F45" i="16"/>
  <c r="G45" i="16"/>
  <c r="H45" i="16"/>
  <c r="I45" i="16"/>
  <c r="J45" i="16"/>
  <c r="K45" i="16"/>
  <c r="L45" i="16"/>
  <c r="M45" i="16"/>
  <c r="N45" i="16"/>
  <c r="D46" i="16"/>
  <c r="E46" i="16"/>
  <c r="F46" i="16"/>
  <c r="G46" i="16"/>
  <c r="H46" i="16"/>
  <c r="I46" i="16"/>
  <c r="J46" i="16"/>
  <c r="K46" i="16"/>
  <c r="L46" i="16"/>
  <c r="M46" i="16"/>
  <c r="N46" i="16"/>
  <c r="C42" i="16"/>
  <c r="C43" i="16"/>
  <c r="C44" i="16"/>
  <c r="C45" i="16"/>
  <c r="C46" i="16"/>
  <c r="C41" i="16"/>
  <c r="D34" i="16"/>
  <c r="E34" i="16"/>
  <c r="F34" i="16"/>
  <c r="G34" i="16"/>
  <c r="H34" i="16"/>
  <c r="I34" i="16"/>
  <c r="J34" i="16"/>
  <c r="K34" i="16"/>
  <c r="L34" i="16"/>
  <c r="M34" i="16"/>
  <c r="N34" i="16"/>
  <c r="D35" i="16"/>
  <c r="E35" i="16"/>
  <c r="F35" i="16"/>
  <c r="G35" i="16"/>
  <c r="H35" i="16"/>
  <c r="I35" i="16"/>
  <c r="J35" i="16"/>
  <c r="K35" i="16"/>
  <c r="L35" i="16"/>
  <c r="M35" i="16"/>
  <c r="N35" i="16"/>
  <c r="D36" i="16"/>
  <c r="E36" i="16"/>
  <c r="F36" i="16"/>
  <c r="G36" i="16"/>
  <c r="H36" i="16"/>
  <c r="I36" i="16"/>
  <c r="J36" i="16"/>
  <c r="K36" i="16"/>
  <c r="L36" i="16"/>
  <c r="M36" i="16"/>
  <c r="N36" i="16"/>
  <c r="D37" i="16"/>
  <c r="E37" i="16"/>
  <c r="F37" i="16"/>
  <c r="G37" i="16"/>
  <c r="H37" i="16"/>
  <c r="I37" i="16"/>
  <c r="J37" i="16"/>
  <c r="K37" i="16"/>
  <c r="L37" i="16"/>
  <c r="M37" i="16"/>
  <c r="N37" i="16"/>
  <c r="D38" i="16"/>
  <c r="E38" i="16"/>
  <c r="F38" i="16"/>
  <c r="G38" i="16"/>
  <c r="H38" i="16"/>
  <c r="I38" i="16"/>
  <c r="J38" i="16"/>
  <c r="K38" i="16"/>
  <c r="L38" i="16"/>
  <c r="M38" i="16"/>
  <c r="N38" i="16"/>
  <c r="D39" i="16"/>
  <c r="E39" i="16"/>
  <c r="F39" i="16"/>
  <c r="G39" i="16"/>
  <c r="H39" i="16"/>
  <c r="I39" i="16"/>
  <c r="J39" i="16"/>
  <c r="K39" i="16"/>
  <c r="L39" i="16"/>
  <c r="M39" i="16"/>
  <c r="N39" i="16"/>
  <c r="D40" i="16"/>
  <c r="E40" i="16"/>
  <c r="F40" i="16"/>
  <c r="G40" i="16"/>
  <c r="H40" i="16"/>
  <c r="I40" i="16"/>
  <c r="J40" i="16"/>
  <c r="K40" i="16"/>
  <c r="L40" i="16"/>
  <c r="M40" i="16"/>
  <c r="N40" i="16"/>
  <c r="C35" i="16"/>
  <c r="C36" i="16"/>
  <c r="C37" i="16"/>
  <c r="C38" i="16"/>
  <c r="C39" i="16"/>
  <c r="C40" i="16"/>
  <c r="C34" i="16"/>
  <c r="D14" i="16"/>
  <c r="E14" i="16"/>
  <c r="F14" i="16"/>
  <c r="G14" i="16"/>
  <c r="H14" i="16"/>
  <c r="I14" i="16"/>
  <c r="J14" i="16"/>
  <c r="K14" i="16"/>
  <c r="L14" i="16"/>
  <c r="M14" i="16"/>
  <c r="N14" i="16"/>
  <c r="D15" i="16"/>
  <c r="E15" i="16"/>
  <c r="F15" i="16"/>
  <c r="G15" i="16"/>
  <c r="H15" i="16"/>
  <c r="I15" i="16"/>
  <c r="J15" i="16"/>
  <c r="K15" i="16"/>
  <c r="L15" i="16"/>
  <c r="M15" i="16"/>
  <c r="N15" i="16"/>
  <c r="C15" i="16"/>
  <c r="C14" i="16"/>
  <c r="D28" i="16"/>
  <c r="E28" i="16"/>
  <c r="F28" i="16"/>
  <c r="G28" i="16"/>
  <c r="H28" i="16"/>
  <c r="I28" i="16"/>
  <c r="J28" i="16"/>
  <c r="K28" i="16"/>
  <c r="L28" i="16"/>
  <c r="M28" i="16"/>
  <c r="N28" i="16"/>
  <c r="D29" i="16"/>
  <c r="E29" i="16"/>
  <c r="F29" i="16"/>
  <c r="G29" i="16"/>
  <c r="H29" i="16"/>
  <c r="I29" i="16"/>
  <c r="J29" i="16"/>
  <c r="K29" i="16"/>
  <c r="L29" i="16"/>
  <c r="M29" i="16"/>
  <c r="N29" i="16"/>
  <c r="D30" i="16"/>
  <c r="E30" i="16"/>
  <c r="F30" i="16"/>
  <c r="G30" i="16"/>
  <c r="H30" i="16"/>
  <c r="I30" i="16"/>
  <c r="J30" i="16"/>
  <c r="K30" i="16"/>
  <c r="L30" i="16"/>
  <c r="M30" i="16"/>
  <c r="N30" i="16"/>
  <c r="D31" i="16"/>
  <c r="E31" i="16"/>
  <c r="F31" i="16"/>
  <c r="G31" i="16"/>
  <c r="H31" i="16"/>
  <c r="I31" i="16"/>
  <c r="J31" i="16"/>
  <c r="K31" i="16"/>
  <c r="L31" i="16"/>
  <c r="M31" i="16"/>
  <c r="N31" i="16"/>
  <c r="D32" i="16"/>
  <c r="E32" i="16"/>
  <c r="F32" i="16"/>
  <c r="G32" i="16"/>
  <c r="H32" i="16"/>
  <c r="I32" i="16"/>
  <c r="J32" i="16"/>
  <c r="K32" i="16"/>
  <c r="L32" i="16"/>
  <c r="M32" i="16"/>
  <c r="N32" i="16"/>
  <c r="D33" i="16"/>
  <c r="E33" i="16"/>
  <c r="F33" i="16"/>
  <c r="G33" i="16"/>
  <c r="H33" i="16"/>
  <c r="I33" i="16"/>
  <c r="J33" i="16"/>
  <c r="K33" i="16"/>
  <c r="L33" i="16"/>
  <c r="M33" i="16"/>
  <c r="N33" i="16"/>
  <c r="C29" i="16"/>
  <c r="C30" i="16"/>
  <c r="C31" i="16"/>
  <c r="C32" i="16"/>
  <c r="C33" i="16"/>
  <c r="C28" i="16"/>
  <c r="D22" i="16"/>
  <c r="E22" i="16"/>
  <c r="F22" i="16"/>
  <c r="G22" i="16"/>
  <c r="H22" i="16"/>
  <c r="I22" i="16"/>
  <c r="J22" i="16"/>
  <c r="K22" i="16"/>
  <c r="L22" i="16"/>
  <c r="M22" i="16"/>
  <c r="N22" i="16"/>
  <c r="D23" i="16"/>
  <c r="E23" i="16"/>
  <c r="F23" i="16"/>
  <c r="G23" i="16"/>
  <c r="H23" i="16"/>
  <c r="I23" i="16"/>
  <c r="J23" i="16"/>
  <c r="K23" i="16"/>
  <c r="L23" i="16"/>
  <c r="M23" i="16"/>
  <c r="N23" i="16"/>
  <c r="D24" i="16"/>
  <c r="E24" i="16"/>
  <c r="F24" i="16"/>
  <c r="G24" i="16"/>
  <c r="H24" i="16"/>
  <c r="I24" i="16"/>
  <c r="J24" i="16"/>
  <c r="K24" i="16"/>
  <c r="L24" i="16"/>
  <c r="M24" i="16"/>
  <c r="N24" i="16"/>
  <c r="C23" i="16"/>
  <c r="C24" i="16"/>
  <c r="C22" i="16"/>
  <c r="D25" i="16"/>
  <c r="E25" i="16"/>
  <c r="F25" i="16"/>
  <c r="G25" i="16"/>
  <c r="H25" i="16"/>
  <c r="I25" i="16"/>
  <c r="J25" i="16"/>
  <c r="K25" i="16"/>
  <c r="L25" i="16"/>
  <c r="M25" i="16"/>
  <c r="N25" i="16"/>
  <c r="D26" i="16"/>
  <c r="E26" i="16"/>
  <c r="F26" i="16"/>
  <c r="G26" i="16"/>
  <c r="H26" i="16"/>
  <c r="I26" i="16"/>
  <c r="J26" i="16"/>
  <c r="K26" i="16"/>
  <c r="L26" i="16"/>
  <c r="M26" i="16"/>
  <c r="N26" i="16"/>
  <c r="D27" i="16"/>
  <c r="E27" i="16"/>
  <c r="F27" i="16"/>
  <c r="G27" i="16"/>
  <c r="H27" i="16"/>
  <c r="I27" i="16"/>
  <c r="J27" i="16"/>
  <c r="K27" i="16"/>
  <c r="L27" i="16"/>
  <c r="M27" i="16"/>
  <c r="N27" i="16"/>
  <c r="C26" i="16"/>
  <c r="C27" i="16"/>
  <c r="C25" i="16"/>
  <c r="D21" i="16"/>
  <c r="E21" i="16"/>
  <c r="F21" i="16"/>
  <c r="G21" i="16"/>
  <c r="H21" i="16"/>
  <c r="I21" i="16"/>
  <c r="J21" i="16"/>
  <c r="K21" i="16"/>
  <c r="L21" i="16"/>
  <c r="M21" i="16"/>
  <c r="N21" i="16"/>
  <c r="C21" i="16"/>
  <c r="D20" i="16"/>
  <c r="E20" i="16"/>
  <c r="F20" i="16"/>
  <c r="G20" i="16"/>
  <c r="H20" i="16"/>
  <c r="I20" i="16"/>
  <c r="J20" i="16"/>
  <c r="K20" i="16"/>
  <c r="L20" i="16"/>
  <c r="M20" i="16"/>
  <c r="N20" i="16"/>
  <c r="C20" i="16"/>
  <c r="N19" i="16"/>
  <c r="D19" i="16"/>
  <c r="E19" i="16"/>
  <c r="F19" i="16"/>
  <c r="G19" i="16"/>
  <c r="H19" i="16"/>
  <c r="I19" i="16"/>
  <c r="J19" i="16"/>
  <c r="K19" i="16"/>
  <c r="L19" i="16"/>
  <c r="M19" i="16"/>
  <c r="C19" i="16"/>
  <c r="D18" i="16"/>
  <c r="E18" i="16"/>
  <c r="F18" i="16"/>
  <c r="G18" i="16"/>
  <c r="H18" i="16"/>
  <c r="I18" i="16"/>
  <c r="J18" i="16"/>
  <c r="K18" i="16"/>
  <c r="L18" i="16"/>
  <c r="M18" i="16"/>
  <c r="N18" i="16"/>
  <c r="C18" i="16"/>
  <c r="D17" i="16"/>
  <c r="E17" i="16"/>
  <c r="F17" i="16"/>
  <c r="G17" i="16"/>
  <c r="H17" i="16"/>
  <c r="I17" i="16"/>
  <c r="J17" i="16"/>
  <c r="K17" i="16"/>
  <c r="L17" i="16"/>
  <c r="M17" i="16"/>
  <c r="N17" i="16"/>
  <c r="C17" i="16"/>
  <c r="D16" i="16"/>
  <c r="E16" i="16"/>
  <c r="F16" i="16"/>
  <c r="G16" i="16"/>
  <c r="H16" i="16"/>
  <c r="I16" i="16"/>
  <c r="J16" i="16"/>
  <c r="K16" i="16"/>
  <c r="L16" i="16"/>
  <c r="M16" i="16"/>
  <c r="N16" i="16"/>
  <c r="C16" i="16"/>
  <c r="N88" i="7" l="1"/>
  <c r="N72" i="3"/>
  <c r="N86" i="7"/>
  <c r="N53" i="7"/>
  <c r="N77" i="7"/>
  <c r="N78" i="7"/>
  <c r="N79" i="7"/>
  <c r="N80" i="7"/>
  <c r="N81" i="3"/>
  <c r="N82" i="3"/>
  <c r="N86" i="3"/>
  <c r="N87" i="3"/>
  <c r="N88" i="3"/>
  <c r="N82" i="7"/>
  <c r="N72" i="7"/>
  <c r="N45" i="7"/>
  <c r="N81" i="7"/>
  <c r="N43" i="7"/>
  <c r="N46" i="7"/>
  <c r="N51" i="7"/>
  <c r="N52" i="7"/>
  <c r="N60" i="7"/>
  <c r="N47" i="7"/>
  <c r="N64" i="7"/>
  <c r="N66" i="7"/>
  <c r="N67" i="7"/>
  <c r="N87" i="7"/>
  <c r="N52" i="3"/>
  <c r="N64" i="3"/>
  <c r="N67" i="3"/>
  <c r="N43" i="3"/>
  <c r="N45" i="3"/>
  <c r="N46" i="3"/>
  <c r="N51" i="3"/>
  <c r="N53" i="3"/>
  <c r="N60" i="3"/>
  <c r="N47" i="3"/>
  <c r="N66" i="3"/>
  <c r="N77" i="3"/>
  <c r="N78" i="3"/>
  <c r="N79" i="3"/>
  <c r="N80" i="3"/>
  <c r="M58" i="7"/>
  <c r="L58" i="7"/>
  <c r="K58" i="7"/>
  <c r="J58" i="7"/>
  <c r="I58" i="7"/>
  <c r="H58" i="7"/>
  <c r="G58" i="7"/>
  <c r="F58" i="7"/>
  <c r="E58" i="7"/>
  <c r="D58" i="7"/>
  <c r="C58" i="7"/>
  <c r="B58" i="7"/>
  <c r="M57" i="7"/>
  <c r="L57" i="7"/>
  <c r="K57" i="7"/>
  <c r="J57" i="7"/>
  <c r="I57" i="7"/>
  <c r="H57" i="7"/>
  <c r="G57" i="7"/>
  <c r="F57" i="7"/>
  <c r="E57" i="7"/>
  <c r="D57" i="7"/>
  <c r="C57" i="7"/>
  <c r="B57" i="7"/>
  <c r="M56" i="7"/>
  <c r="L56" i="7"/>
  <c r="K56" i="7"/>
  <c r="J56" i="7"/>
  <c r="I56" i="7"/>
  <c r="H56" i="7"/>
  <c r="G56" i="7"/>
  <c r="F56" i="7"/>
  <c r="E56" i="7"/>
  <c r="D56" i="7"/>
  <c r="C56" i="7"/>
  <c r="B56" i="7"/>
  <c r="M58" i="3"/>
  <c r="L58" i="3"/>
  <c r="K58" i="3"/>
  <c r="J58" i="3"/>
  <c r="I58" i="3"/>
  <c r="H58" i="3"/>
  <c r="G58" i="3"/>
  <c r="F58" i="3"/>
  <c r="E58" i="3"/>
  <c r="D58" i="3"/>
  <c r="C58" i="3"/>
  <c r="B58" i="3"/>
  <c r="M57" i="3"/>
  <c r="L57" i="3"/>
  <c r="K57" i="3"/>
  <c r="J57" i="3"/>
  <c r="I57" i="3"/>
  <c r="H57" i="3"/>
  <c r="G57" i="3"/>
  <c r="F57" i="3"/>
  <c r="E57" i="3"/>
  <c r="D57" i="3"/>
  <c r="C57" i="3"/>
  <c r="B57" i="3"/>
  <c r="M56" i="3"/>
  <c r="L56" i="3"/>
  <c r="K56" i="3"/>
  <c r="J56" i="3"/>
  <c r="I56" i="3"/>
  <c r="H56" i="3"/>
  <c r="G56" i="3"/>
  <c r="F56" i="3"/>
  <c r="E56" i="3"/>
  <c r="D56" i="3"/>
  <c r="C56" i="3"/>
  <c r="B56" i="3"/>
  <c r="B92" i="7"/>
  <c r="B93" i="7" s="1"/>
  <c r="B85" i="7"/>
  <c r="B84" i="7"/>
  <c r="B83" i="7"/>
  <c r="B76" i="7"/>
  <c r="B75" i="7"/>
  <c r="B74" i="7"/>
  <c r="B73" i="7"/>
  <c r="B71" i="7"/>
  <c r="B70" i="7"/>
  <c r="B69" i="7"/>
  <c r="B68" i="7"/>
  <c r="B65" i="7"/>
  <c r="B59" i="7"/>
  <c r="B63" i="7"/>
  <c r="B62" i="7"/>
  <c r="B61" i="7"/>
  <c r="B49" i="7"/>
  <c r="B44" i="7"/>
  <c r="B42" i="7"/>
  <c r="B41" i="7"/>
  <c r="B40" i="7"/>
  <c r="B39" i="7"/>
  <c r="B34" i="7"/>
  <c r="B33" i="7"/>
  <c r="B32" i="7"/>
  <c r="B31" i="7"/>
  <c r="B26" i="7"/>
  <c r="B25" i="7"/>
  <c r="B21" i="7"/>
  <c r="B20" i="7"/>
  <c r="B19" i="7"/>
  <c r="B18" i="7"/>
  <c r="B17" i="7"/>
  <c r="B16" i="7"/>
  <c r="B15" i="7"/>
  <c r="B14" i="7"/>
  <c r="B13" i="7"/>
  <c r="B12" i="7"/>
  <c r="B11" i="7"/>
  <c r="B10" i="7"/>
  <c r="B9" i="7"/>
  <c r="B8" i="7"/>
  <c r="B7" i="7"/>
  <c r="B6" i="7"/>
  <c r="B5" i="7"/>
  <c r="C92" i="7"/>
  <c r="C93" i="7" s="1"/>
  <c r="C85" i="7"/>
  <c r="C84" i="7"/>
  <c r="C83" i="7"/>
  <c r="C76" i="7"/>
  <c r="C75" i="7"/>
  <c r="C74" i="7"/>
  <c r="C73" i="7"/>
  <c r="C71" i="7"/>
  <c r="C70" i="7"/>
  <c r="C69" i="7"/>
  <c r="C68" i="7"/>
  <c r="C65" i="7"/>
  <c r="C59" i="7"/>
  <c r="C63" i="7"/>
  <c r="C62" i="7"/>
  <c r="C61" i="7"/>
  <c r="C49" i="7"/>
  <c r="C44" i="7"/>
  <c r="C42" i="7"/>
  <c r="C41" i="7"/>
  <c r="C40" i="7"/>
  <c r="C39" i="7"/>
  <c r="C34" i="7"/>
  <c r="C33" i="7"/>
  <c r="C32" i="7"/>
  <c r="C31" i="7"/>
  <c r="C26" i="7"/>
  <c r="C25" i="7"/>
  <c r="C21" i="7"/>
  <c r="C20" i="7"/>
  <c r="C19" i="7"/>
  <c r="C18" i="7"/>
  <c r="C17" i="7"/>
  <c r="C16" i="7"/>
  <c r="C15" i="7"/>
  <c r="C14" i="7"/>
  <c r="C13" i="7"/>
  <c r="C12" i="7"/>
  <c r="C11" i="7"/>
  <c r="C10" i="7"/>
  <c r="C9" i="7"/>
  <c r="C8" i="7"/>
  <c r="C7" i="7"/>
  <c r="C6" i="7"/>
  <c r="C5" i="7"/>
  <c r="C21" i="3"/>
  <c r="C20" i="3"/>
  <c r="C19" i="3"/>
  <c r="C18" i="3"/>
  <c r="C17" i="3"/>
  <c r="C16" i="3"/>
  <c r="C15" i="3"/>
  <c r="C14" i="3"/>
  <c r="C13" i="3"/>
  <c r="C12" i="3"/>
  <c r="C11" i="3"/>
  <c r="C10" i="3"/>
  <c r="C9" i="3"/>
  <c r="C8" i="3"/>
  <c r="C7" i="3"/>
  <c r="C6" i="3"/>
  <c r="C5" i="3"/>
  <c r="C34" i="3"/>
  <c r="C33" i="3"/>
  <c r="C32" i="3"/>
  <c r="C31" i="3"/>
  <c r="C26" i="3"/>
  <c r="C25" i="3"/>
  <c r="C85" i="3"/>
  <c r="C84" i="3"/>
  <c r="C83" i="3"/>
  <c r="C76" i="3"/>
  <c r="C75" i="3"/>
  <c r="C74" i="3"/>
  <c r="C73" i="3"/>
  <c r="C71" i="3"/>
  <c r="C70" i="3"/>
  <c r="C69" i="3"/>
  <c r="C68" i="3"/>
  <c r="C65" i="3"/>
  <c r="C59" i="3"/>
  <c r="C63" i="3"/>
  <c r="C62" i="3"/>
  <c r="C61" i="3"/>
  <c r="C49" i="3"/>
  <c r="C44" i="3"/>
  <c r="C42" i="3"/>
  <c r="C41" i="3"/>
  <c r="C40" i="3"/>
  <c r="C39" i="3"/>
  <c r="C92" i="3"/>
  <c r="C93" i="3" s="1"/>
  <c r="B92" i="3"/>
  <c r="B93" i="3" s="1"/>
  <c r="D92" i="3"/>
  <c r="D85" i="3"/>
  <c r="D84" i="3"/>
  <c r="D83" i="3"/>
  <c r="D76" i="3"/>
  <c r="D75" i="3"/>
  <c r="D74" i="3"/>
  <c r="D73" i="3"/>
  <c r="D71" i="3"/>
  <c r="D70" i="3"/>
  <c r="D69" i="3"/>
  <c r="D68" i="3"/>
  <c r="D65" i="3"/>
  <c r="D59" i="3"/>
  <c r="D63" i="3"/>
  <c r="D62" i="3"/>
  <c r="D61" i="3"/>
  <c r="D49" i="3"/>
  <c r="D44" i="3"/>
  <c r="D42" i="3"/>
  <c r="D41" i="3"/>
  <c r="D40" i="3"/>
  <c r="D39" i="3"/>
  <c r="D34" i="3"/>
  <c r="D33" i="3"/>
  <c r="D32" i="3"/>
  <c r="D31" i="3"/>
  <c r="D26" i="3"/>
  <c r="D25" i="3"/>
  <c r="D21" i="3"/>
  <c r="D20" i="3"/>
  <c r="D19" i="3"/>
  <c r="D18" i="3"/>
  <c r="D17" i="3"/>
  <c r="D16" i="3"/>
  <c r="D15" i="3"/>
  <c r="D14" i="3"/>
  <c r="D13" i="3"/>
  <c r="D12" i="3"/>
  <c r="D11" i="3"/>
  <c r="D10" i="3"/>
  <c r="D9" i="3"/>
  <c r="D8" i="3"/>
  <c r="D7" i="3"/>
  <c r="D6" i="3"/>
  <c r="D5" i="3"/>
  <c r="B85" i="3"/>
  <c r="B84" i="3"/>
  <c r="B83" i="3"/>
  <c r="B76" i="3"/>
  <c r="B75" i="3"/>
  <c r="B74" i="3"/>
  <c r="B73" i="3"/>
  <c r="B71" i="3"/>
  <c r="B70" i="3"/>
  <c r="B69" i="3"/>
  <c r="B68" i="3"/>
  <c r="B65" i="3"/>
  <c r="B59" i="3"/>
  <c r="B63" i="3"/>
  <c r="B62" i="3"/>
  <c r="B61" i="3"/>
  <c r="B49" i="3"/>
  <c r="B44" i="3"/>
  <c r="B42" i="3"/>
  <c r="B41" i="3"/>
  <c r="B40" i="3"/>
  <c r="B39" i="3"/>
  <c r="B34" i="3"/>
  <c r="B33" i="3"/>
  <c r="B32" i="3"/>
  <c r="B31" i="3"/>
  <c r="B26" i="3"/>
  <c r="B25" i="3"/>
  <c r="B21" i="3"/>
  <c r="B20" i="3"/>
  <c r="B19" i="3"/>
  <c r="B18" i="3"/>
  <c r="B17" i="3"/>
  <c r="B16" i="3"/>
  <c r="B15" i="3"/>
  <c r="B14" i="3"/>
  <c r="B13" i="3"/>
  <c r="B12" i="3"/>
  <c r="B11" i="3"/>
  <c r="B10" i="3"/>
  <c r="B9" i="3"/>
  <c r="B8" i="3"/>
  <c r="B7" i="3"/>
  <c r="B6" i="3"/>
  <c r="B5" i="3"/>
  <c r="C36" i="7" l="1"/>
  <c r="B36" i="7"/>
  <c r="B36" i="3"/>
  <c r="C22" i="7"/>
  <c r="C89" i="7"/>
  <c r="B22" i="7"/>
  <c r="C36" i="3"/>
  <c r="C22" i="3"/>
  <c r="B89" i="7"/>
  <c r="C89" i="3"/>
  <c r="B89" i="3"/>
  <c r="B22" i="3"/>
  <c r="D13" i="15"/>
  <c r="N18" i="14"/>
  <c r="M18" i="14"/>
  <c r="L18" i="14"/>
  <c r="K18" i="14"/>
  <c r="J18" i="14"/>
  <c r="I18" i="14"/>
  <c r="H18" i="14"/>
  <c r="G18" i="14"/>
  <c r="F18" i="14"/>
  <c r="E18" i="14"/>
  <c r="C18" i="14"/>
  <c r="B18" i="14"/>
  <c r="N17" i="14"/>
  <c r="M17" i="14"/>
  <c r="L17" i="14"/>
  <c r="K17" i="14"/>
  <c r="J17" i="14"/>
  <c r="I17" i="14"/>
  <c r="H17" i="14"/>
  <c r="G17" i="14"/>
  <c r="F17" i="14"/>
  <c r="E17" i="14"/>
  <c r="C17" i="14"/>
  <c r="B17" i="14"/>
  <c r="N16" i="14"/>
  <c r="M16" i="14"/>
  <c r="L16" i="14"/>
  <c r="K16" i="14"/>
  <c r="J16" i="14"/>
  <c r="I16" i="14"/>
  <c r="H16" i="14"/>
  <c r="G16" i="14"/>
  <c r="F16" i="14"/>
  <c r="E16" i="14"/>
  <c r="C16" i="14"/>
  <c r="B16" i="14"/>
  <c r="N15" i="14"/>
  <c r="M15" i="14"/>
  <c r="L15" i="14"/>
  <c r="K15" i="14"/>
  <c r="J15" i="14"/>
  <c r="I15" i="14"/>
  <c r="H15" i="14"/>
  <c r="G15" i="14"/>
  <c r="F15" i="14"/>
  <c r="E15" i="14"/>
  <c r="C15" i="14"/>
  <c r="B15" i="14"/>
  <c r="N14" i="14"/>
  <c r="M14" i="14"/>
  <c r="L14" i="14"/>
  <c r="K14" i="14"/>
  <c r="J14" i="14"/>
  <c r="I14" i="14"/>
  <c r="H14" i="14"/>
  <c r="G14" i="14"/>
  <c r="F14" i="14"/>
  <c r="E14" i="14"/>
  <c r="C14" i="14"/>
  <c r="B14" i="14"/>
  <c r="N13" i="14"/>
  <c r="M13" i="14"/>
  <c r="L13" i="14"/>
  <c r="K13" i="14"/>
  <c r="J13" i="14"/>
  <c r="I13" i="14"/>
  <c r="H13" i="14"/>
  <c r="G13" i="14"/>
  <c r="F13" i="14"/>
  <c r="E13" i="14"/>
  <c r="C13" i="14"/>
  <c r="B13" i="14"/>
  <c r="N10" i="14"/>
  <c r="M10" i="14"/>
  <c r="L10" i="14"/>
  <c r="K10" i="14"/>
  <c r="J10" i="14"/>
  <c r="I10" i="14"/>
  <c r="H10" i="14"/>
  <c r="G10" i="14"/>
  <c r="F10" i="14"/>
  <c r="E10" i="14"/>
  <c r="C10" i="14"/>
  <c r="B10" i="14"/>
  <c r="N9" i="14"/>
  <c r="M9" i="14"/>
  <c r="L9" i="14"/>
  <c r="K9" i="14"/>
  <c r="J9" i="14"/>
  <c r="I9" i="14"/>
  <c r="H9" i="14"/>
  <c r="G9" i="14"/>
  <c r="F9" i="14"/>
  <c r="E9" i="14"/>
  <c r="C9" i="14"/>
  <c r="B9" i="14"/>
  <c r="N5" i="14"/>
  <c r="M5" i="14"/>
  <c r="L5" i="14"/>
  <c r="K5" i="14"/>
  <c r="J5" i="14"/>
  <c r="I5" i="14"/>
  <c r="H5" i="14"/>
  <c r="G5" i="14"/>
  <c r="F4" i="14"/>
  <c r="F5" i="14" s="1"/>
  <c r="E4" i="14"/>
  <c r="E5" i="14" s="1"/>
  <c r="C4" i="14"/>
  <c r="C5" i="14" s="1"/>
  <c r="B4" i="14"/>
  <c r="N16" i="13"/>
  <c r="M16" i="13"/>
  <c r="L16" i="13"/>
  <c r="K16" i="13"/>
  <c r="J16" i="13"/>
  <c r="I16" i="13"/>
  <c r="H16" i="13"/>
  <c r="G16" i="13"/>
  <c r="F16" i="13"/>
  <c r="E16" i="13"/>
  <c r="C16" i="13"/>
  <c r="B16" i="13"/>
  <c r="N15" i="13"/>
  <c r="M15" i="13"/>
  <c r="L15" i="13"/>
  <c r="K15" i="13"/>
  <c r="J15" i="13"/>
  <c r="I15" i="13"/>
  <c r="H15" i="13"/>
  <c r="G15" i="13"/>
  <c r="F15" i="13"/>
  <c r="E15" i="13"/>
  <c r="C15" i="13"/>
  <c r="B15" i="13"/>
  <c r="N14" i="13"/>
  <c r="M14" i="13"/>
  <c r="L14" i="13"/>
  <c r="K14" i="13"/>
  <c r="J14" i="13"/>
  <c r="I14" i="13"/>
  <c r="H14" i="13"/>
  <c r="G14" i="13"/>
  <c r="F14" i="13"/>
  <c r="E14" i="13"/>
  <c r="C14" i="13"/>
  <c r="B14" i="13"/>
  <c r="N11" i="13"/>
  <c r="M11" i="13"/>
  <c r="L11" i="13"/>
  <c r="K11" i="13"/>
  <c r="J11" i="13"/>
  <c r="I11" i="13"/>
  <c r="H11" i="13"/>
  <c r="G11" i="13"/>
  <c r="F11" i="13"/>
  <c r="E11" i="13"/>
  <c r="C11" i="13"/>
  <c r="B11" i="13"/>
  <c r="N10" i="13"/>
  <c r="M10" i="13"/>
  <c r="L10" i="13"/>
  <c r="K10" i="13"/>
  <c r="J10" i="13"/>
  <c r="I10" i="13"/>
  <c r="H10" i="13"/>
  <c r="G10" i="13"/>
  <c r="F10" i="13"/>
  <c r="E10" i="13"/>
  <c r="C10" i="13"/>
  <c r="B10" i="13"/>
  <c r="N9" i="13"/>
  <c r="M9" i="13"/>
  <c r="L9" i="13"/>
  <c r="K9" i="13"/>
  <c r="J9" i="13"/>
  <c r="I9" i="13"/>
  <c r="H9" i="13"/>
  <c r="G9" i="13"/>
  <c r="F9" i="13"/>
  <c r="E9" i="13"/>
  <c r="C9" i="13"/>
  <c r="B9" i="13"/>
  <c r="N8" i="13"/>
  <c r="M8" i="13"/>
  <c r="L8" i="13"/>
  <c r="K8" i="13"/>
  <c r="J8" i="13"/>
  <c r="I8" i="13"/>
  <c r="H8" i="13"/>
  <c r="G8" i="13"/>
  <c r="F8" i="13"/>
  <c r="E8" i="13"/>
  <c r="C8" i="13"/>
  <c r="B8" i="13"/>
  <c r="N4" i="13"/>
  <c r="M4" i="13"/>
  <c r="L4" i="13"/>
  <c r="K4" i="13"/>
  <c r="J4" i="13"/>
  <c r="I4" i="13"/>
  <c r="H4" i="13"/>
  <c r="G4" i="13"/>
  <c r="F4" i="13"/>
  <c r="E4" i="13"/>
  <c r="C4" i="13"/>
  <c r="B4" i="13"/>
  <c r="N24" i="12"/>
  <c r="M24" i="12"/>
  <c r="L24" i="12"/>
  <c r="K24" i="12"/>
  <c r="J24" i="12"/>
  <c r="I24" i="12"/>
  <c r="H24" i="12"/>
  <c r="G24" i="12"/>
  <c r="F24" i="12"/>
  <c r="E24" i="12"/>
  <c r="C24" i="12"/>
  <c r="B24" i="12"/>
  <c r="N23" i="12"/>
  <c r="M23" i="12"/>
  <c r="L23" i="12"/>
  <c r="K23" i="12"/>
  <c r="J23" i="12"/>
  <c r="I23" i="12"/>
  <c r="H23" i="12"/>
  <c r="G23" i="12"/>
  <c r="F23" i="12"/>
  <c r="E23" i="12"/>
  <c r="C23" i="12"/>
  <c r="B23" i="12"/>
  <c r="N22" i="12"/>
  <c r="M22" i="12"/>
  <c r="L22" i="12"/>
  <c r="K22" i="12"/>
  <c r="J22" i="12"/>
  <c r="I22" i="12"/>
  <c r="H22" i="12"/>
  <c r="G22" i="12"/>
  <c r="F22" i="12"/>
  <c r="E22" i="12"/>
  <c r="C22" i="12"/>
  <c r="B22" i="12"/>
  <c r="N19" i="12"/>
  <c r="M19" i="12"/>
  <c r="L19" i="12"/>
  <c r="K19" i="12"/>
  <c r="J19" i="12"/>
  <c r="I19" i="12"/>
  <c r="H19" i="12"/>
  <c r="G19" i="12"/>
  <c r="F19" i="12"/>
  <c r="E19" i="12"/>
  <c r="C19" i="12"/>
  <c r="B19" i="12"/>
  <c r="N18" i="12"/>
  <c r="M18" i="12"/>
  <c r="L18" i="12"/>
  <c r="K18" i="12"/>
  <c r="J18" i="12"/>
  <c r="I18" i="12"/>
  <c r="H18" i="12"/>
  <c r="G18" i="12"/>
  <c r="F18" i="12"/>
  <c r="E18" i="12"/>
  <c r="C18" i="12"/>
  <c r="B18" i="12"/>
  <c r="N17" i="12"/>
  <c r="M17" i="12"/>
  <c r="L17" i="12"/>
  <c r="K17" i="12"/>
  <c r="J17" i="12"/>
  <c r="I17" i="12"/>
  <c r="H17" i="12"/>
  <c r="G17" i="12"/>
  <c r="F17" i="12"/>
  <c r="E17" i="12"/>
  <c r="C17" i="12"/>
  <c r="B17" i="12"/>
  <c r="N16" i="12"/>
  <c r="M16" i="12"/>
  <c r="L16" i="12"/>
  <c r="K16" i="12"/>
  <c r="J16" i="12"/>
  <c r="I16" i="12"/>
  <c r="H16" i="12"/>
  <c r="G16" i="12"/>
  <c r="F16" i="12"/>
  <c r="E16" i="12"/>
  <c r="C16" i="12"/>
  <c r="B16" i="12"/>
  <c r="N13" i="12"/>
  <c r="M13" i="12"/>
  <c r="L13" i="12"/>
  <c r="K13" i="12"/>
  <c r="J13" i="12"/>
  <c r="I13" i="12"/>
  <c r="H13" i="12"/>
  <c r="G13" i="12"/>
  <c r="F13" i="12"/>
  <c r="E13" i="12"/>
  <c r="C13" i="12"/>
  <c r="B13" i="12"/>
  <c r="N12" i="12"/>
  <c r="M12" i="12"/>
  <c r="L12" i="12"/>
  <c r="K12" i="12"/>
  <c r="J12" i="12"/>
  <c r="I12" i="12"/>
  <c r="H12" i="12"/>
  <c r="G12" i="12"/>
  <c r="F12" i="12"/>
  <c r="E12" i="12"/>
  <c r="C12" i="12"/>
  <c r="B12" i="12"/>
  <c r="N9" i="12"/>
  <c r="M9" i="12"/>
  <c r="L9" i="12"/>
  <c r="K9" i="12"/>
  <c r="J9" i="12"/>
  <c r="I9" i="12"/>
  <c r="H9" i="12"/>
  <c r="G9" i="12"/>
  <c r="F9" i="12"/>
  <c r="E9" i="12"/>
  <c r="C9" i="12"/>
  <c r="B9" i="12"/>
  <c r="N5" i="12"/>
  <c r="M5" i="12"/>
  <c r="L5" i="12"/>
  <c r="K5" i="12"/>
  <c r="J5" i="12"/>
  <c r="I5" i="12"/>
  <c r="H5" i="12"/>
  <c r="G5" i="12"/>
  <c r="F5" i="12"/>
  <c r="E4" i="12"/>
  <c r="E5" i="12" s="1"/>
  <c r="C4" i="12"/>
  <c r="B4" i="12"/>
  <c r="B5" i="12" s="1"/>
  <c r="N24" i="11"/>
  <c r="M24" i="11"/>
  <c r="L24" i="11"/>
  <c r="K24" i="11"/>
  <c r="J24" i="11"/>
  <c r="I24" i="11"/>
  <c r="H24" i="11"/>
  <c r="G24" i="11"/>
  <c r="F24" i="11"/>
  <c r="E24" i="11"/>
  <c r="C24" i="11"/>
  <c r="B24" i="11"/>
  <c r="N23" i="11"/>
  <c r="M23" i="11"/>
  <c r="L23" i="11"/>
  <c r="K23" i="11"/>
  <c r="J23" i="11"/>
  <c r="I23" i="11"/>
  <c r="H23" i="11"/>
  <c r="G23" i="11"/>
  <c r="F23" i="11"/>
  <c r="E23" i="11"/>
  <c r="C23" i="11"/>
  <c r="B23" i="11"/>
  <c r="N22" i="11"/>
  <c r="M22" i="11"/>
  <c r="L22" i="11"/>
  <c r="K22" i="11"/>
  <c r="J22" i="11"/>
  <c r="I22" i="11"/>
  <c r="H22" i="11"/>
  <c r="G22" i="11"/>
  <c r="F22" i="11"/>
  <c r="E22" i="11"/>
  <c r="C22" i="11"/>
  <c r="B22" i="11"/>
  <c r="N19" i="11"/>
  <c r="M19" i="11"/>
  <c r="L19" i="11"/>
  <c r="K19" i="11"/>
  <c r="J19" i="11"/>
  <c r="I19" i="11"/>
  <c r="H19" i="11"/>
  <c r="G19" i="11"/>
  <c r="F19" i="11"/>
  <c r="E19" i="11"/>
  <c r="C19" i="11"/>
  <c r="B19" i="11"/>
  <c r="N18" i="11"/>
  <c r="M18" i="11"/>
  <c r="L18" i="11"/>
  <c r="K18" i="11"/>
  <c r="J18" i="11"/>
  <c r="I18" i="11"/>
  <c r="H18" i="11"/>
  <c r="G18" i="11"/>
  <c r="F18" i="11"/>
  <c r="E18" i="11"/>
  <c r="C18" i="11"/>
  <c r="B18" i="11"/>
  <c r="N17" i="11"/>
  <c r="M17" i="11"/>
  <c r="L17" i="11"/>
  <c r="K17" i="11"/>
  <c r="J17" i="11"/>
  <c r="I17" i="11"/>
  <c r="H17" i="11"/>
  <c r="G17" i="11"/>
  <c r="F17" i="11"/>
  <c r="E17" i="11"/>
  <c r="C17" i="11"/>
  <c r="B17" i="11"/>
  <c r="N16" i="11"/>
  <c r="M16" i="11"/>
  <c r="L16" i="11"/>
  <c r="K16" i="11"/>
  <c r="J16" i="11"/>
  <c r="I16" i="11"/>
  <c r="H16" i="11"/>
  <c r="G16" i="11"/>
  <c r="F16" i="11"/>
  <c r="E16" i="11"/>
  <c r="C16" i="11"/>
  <c r="B16" i="11"/>
  <c r="N13" i="11"/>
  <c r="M13" i="11"/>
  <c r="L13" i="11"/>
  <c r="K13" i="11"/>
  <c r="J13" i="11"/>
  <c r="I13" i="11"/>
  <c r="H13" i="11"/>
  <c r="G13" i="11"/>
  <c r="F13" i="11"/>
  <c r="E13" i="11"/>
  <c r="C13" i="11"/>
  <c r="B13" i="11"/>
  <c r="N12" i="11"/>
  <c r="M12" i="11"/>
  <c r="L12" i="11"/>
  <c r="K12" i="11"/>
  <c r="J12" i="11"/>
  <c r="I12" i="11"/>
  <c r="H12" i="11"/>
  <c r="G12" i="11"/>
  <c r="F12" i="11"/>
  <c r="E12" i="11"/>
  <c r="C12" i="11"/>
  <c r="B12" i="11"/>
  <c r="N9" i="11"/>
  <c r="M9" i="11"/>
  <c r="L9" i="11"/>
  <c r="K9" i="11"/>
  <c r="J9" i="11"/>
  <c r="I9" i="11"/>
  <c r="H9" i="11"/>
  <c r="G9" i="11"/>
  <c r="F9" i="11"/>
  <c r="E9" i="11"/>
  <c r="C9" i="11"/>
  <c r="B9" i="11"/>
  <c r="N5" i="11"/>
  <c r="M5" i="11"/>
  <c r="L5" i="11"/>
  <c r="K5" i="11"/>
  <c r="J5" i="11"/>
  <c r="I5" i="11"/>
  <c r="H5" i="11"/>
  <c r="G5" i="11"/>
  <c r="F5" i="11"/>
  <c r="E4" i="11"/>
  <c r="E5" i="11" s="1"/>
  <c r="C4" i="11"/>
  <c r="C5" i="11" s="1"/>
  <c r="B4" i="11"/>
  <c r="D15" i="14" l="1"/>
  <c r="C95" i="7"/>
  <c r="D6" i="17" s="1"/>
  <c r="B95" i="7"/>
  <c r="C6" i="17" s="1"/>
  <c r="D4" i="12"/>
  <c r="C95" i="3"/>
  <c r="D7" i="16" s="1"/>
  <c r="D13" i="11"/>
  <c r="D13" i="12"/>
  <c r="D19" i="11"/>
  <c r="D19" i="12"/>
  <c r="D4" i="13"/>
  <c r="D8" i="13"/>
  <c r="D9" i="13"/>
  <c r="D10" i="13"/>
  <c r="D11" i="13"/>
  <c r="D14" i="13"/>
  <c r="D15" i="13"/>
  <c r="D16" i="13"/>
  <c r="D4" i="11"/>
  <c r="D9" i="11"/>
  <c r="D12" i="11"/>
  <c r="D16" i="11"/>
  <c r="D17" i="11"/>
  <c r="D18" i="11"/>
  <c r="D22" i="11"/>
  <c r="D23" i="11"/>
  <c r="D24" i="11"/>
  <c r="D9" i="12"/>
  <c r="D12" i="12"/>
  <c r="D16" i="12"/>
  <c r="D17" i="12"/>
  <c r="D18" i="12"/>
  <c r="D22" i="12"/>
  <c r="D23" i="12"/>
  <c r="D24" i="12"/>
  <c r="D8" i="15"/>
  <c r="D12" i="15"/>
  <c r="D4" i="15"/>
  <c r="D11" i="15"/>
  <c r="D4" i="14"/>
  <c r="D9" i="14"/>
  <c r="D10" i="14"/>
  <c r="D13" i="14"/>
  <c r="D14" i="14"/>
  <c r="D16" i="14"/>
  <c r="D17" i="14"/>
  <c r="D18" i="14"/>
  <c r="B95" i="3"/>
  <c r="C7" i="16" s="1"/>
  <c r="D10" i="15"/>
  <c r="D9" i="15"/>
  <c r="B5" i="14"/>
  <c r="D5" i="14" s="1"/>
  <c r="C5" i="12"/>
  <c r="D5" i="12" s="1"/>
  <c r="B5" i="11"/>
  <c r="D5" i="11" s="1"/>
  <c r="E6" i="11" s="1"/>
  <c r="E4" i="16" s="1"/>
  <c r="F6" i="11" l="1"/>
  <c r="G6" i="11" s="1"/>
  <c r="H6" i="11" s="1"/>
  <c r="I6" i="11" s="1"/>
  <c r="J6" i="11" s="1"/>
  <c r="K6" i="11" s="1"/>
  <c r="L6" i="11" s="1"/>
  <c r="M6" i="11" s="1"/>
  <c r="N6" i="11" s="1"/>
  <c r="E5" i="15"/>
  <c r="F5" i="15" s="1"/>
  <c r="G5" i="15" s="1"/>
  <c r="H5" i="15" s="1"/>
  <c r="I5" i="15" s="1"/>
  <c r="J5" i="15" s="1"/>
  <c r="K5" i="15" s="1"/>
  <c r="L5" i="15" s="1"/>
  <c r="M5" i="15" s="1"/>
  <c r="N5" i="15" s="1"/>
  <c r="E5" i="13"/>
  <c r="E6" i="16" s="1"/>
  <c r="E6" i="12"/>
  <c r="E5" i="16" s="1"/>
  <c r="E6" i="14"/>
  <c r="F6" i="14" s="1"/>
  <c r="G6" i="14" s="1"/>
  <c r="H6" i="14" s="1"/>
  <c r="I6" i="14" s="1"/>
  <c r="J6" i="14" s="1"/>
  <c r="K6" i="14" s="1"/>
  <c r="L6" i="14" s="1"/>
  <c r="M6" i="14" s="1"/>
  <c r="N6" i="14" s="1"/>
  <c r="E5" i="17"/>
  <c r="E3" i="16" l="1"/>
  <c r="F5" i="13"/>
  <c r="G5" i="13" s="1"/>
  <c r="H5" i="13" s="1"/>
  <c r="I5" i="13" s="1"/>
  <c r="J5" i="13" s="1"/>
  <c r="K5" i="13" s="1"/>
  <c r="L5" i="13" s="1"/>
  <c r="M5" i="13" s="1"/>
  <c r="N5" i="13" s="1"/>
  <c r="F6" i="12"/>
  <c r="G6" i="12" s="1"/>
  <c r="H6" i="12" s="1"/>
  <c r="I6" i="12" s="1"/>
  <c r="J6" i="12" s="1"/>
  <c r="K6" i="12" s="1"/>
  <c r="L6" i="12" s="1"/>
  <c r="M6" i="12" s="1"/>
  <c r="N6" i="12" s="1"/>
  <c r="F4" i="16"/>
  <c r="F6" i="16"/>
  <c r="E4" i="17"/>
  <c r="E3" i="17" s="1"/>
  <c r="F5" i="17"/>
  <c r="M84" i="7"/>
  <c r="L84" i="7"/>
  <c r="K84" i="7"/>
  <c r="J84" i="7"/>
  <c r="I84" i="7"/>
  <c r="H84" i="7"/>
  <c r="G84" i="7"/>
  <c r="F84" i="7"/>
  <c r="E84" i="7"/>
  <c r="D84" i="7"/>
  <c r="M84" i="3"/>
  <c r="L84" i="3"/>
  <c r="K84" i="3"/>
  <c r="J84" i="3"/>
  <c r="I84" i="3"/>
  <c r="H84" i="3"/>
  <c r="G84" i="3"/>
  <c r="F84" i="3"/>
  <c r="E84" i="3"/>
  <c r="M49" i="7"/>
  <c r="L49" i="7"/>
  <c r="K49" i="7"/>
  <c r="J49" i="7"/>
  <c r="I49" i="7"/>
  <c r="H49" i="7"/>
  <c r="G49" i="7"/>
  <c r="F49" i="7"/>
  <c r="E49" i="7"/>
  <c r="D49" i="7"/>
  <c r="M49" i="3"/>
  <c r="L49" i="3"/>
  <c r="K49" i="3"/>
  <c r="J49" i="3"/>
  <c r="I49" i="3"/>
  <c r="H49" i="3"/>
  <c r="G49" i="3"/>
  <c r="F49" i="3"/>
  <c r="E49" i="3"/>
  <c r="M69" i="7"/>
  <c r="L69" i="7"/>
  <c r="K69" i="7"/>
  <c r="J69" i="7"/>
  <c r="I69" i="7"/>
  <c r="H69" i="7"/>
  <c r="G69" i="7"/>
  <c r="F69" i="7"/>
  <c r="E69" i="7"/>
  <c r="D69" i="7"/>
  <c r="M69" i="3"/>
  <c r="L69" i="3"/>
  <c r="K69" i="3"/>
  <c r="J69" i="3"/>
  <c r="I69" i="3"/>
  <c r="H69" i="3"/>
  <c r="G69" i="3"/>
  <c r="F69" i="3"/>
  <c r="E69" i="3"/>
  <c r="M63" i="7"/>
  <c r="L63" i="7"/>
  <c r="K63" i="7"/>
  <c r="J63" i="7"/>
  <c r="I63" i="7"/>
  <c r="H63" i="7"/>
  <c r="G63" i="7"/>
  <c r="F63" i="7"/>
  <c r="E63" i="7"/>
  <c r="D63" i="7"/>
  <c r="M62" i="7"/>
  <c r="L62" i="7"/>
  <c r="K62" i="7"/>
  <c r="J62" i="7"/>
  <c r="I62" i="7"/>
  <c r="H62" i="7"/>
  <c r="G62" i="7"/>
  <c r="F62" i="7"/>
  <c r="E62" i="7"/>
  <c r="D62" i="7"/>
  <c r="M61" i="7"/>
  <c r="L61" i="7"/>
  <c r="K61" i="7"/>
  <c r="J61" i="7"/>
  <c r="I61" i="7"/>
  <c r="H61" i="7"/>
  <c r="G61" i="7"/>
  <c r="F61" i="7"/>
  <c r="E61" i="7"/>
  <c r="D61" i="7"/>
  <c r="M63" i="3"/>
  <c r="L63" i="3"/>
  <c r="K63" i="3"/>
  <c r="J63" i="3"/>
  <c r="I63" i="3"/>
  <c r="H63" i="3"/>
  <c r="G63" i="3"/>
  <c r="F63" i="3"/>
  <c r="E63" i="3"/>
  <c r="M62" i="3"/>
  <c r="L62" i="3"/>
  <c r="K62" i="3"/>
  <c r="J62" i="3"/>
  <c r="I62" i="3"/>
  <c r="H62" i="3"/>
  <c r="G62" i="3"/>
  <c r="F62" i="3"/>
  <c r="E62" i="3"/>
  <c r="M61" i="3"/>
  <c r="L61" i="3"/>
  <c r="K61" i="3"/>
  <c r="J61" i="3"/>
  <c r="I61" i="3"/>
  <c r="H61" i="3"/>
  <c r="G61" i="3"/>
  <c r="F61" i="3"/>
  <c r="E61" i="3"/>
  <c r="M65" i="7"/>
  <c r="L65" i="7"/>
  <c r="K65" i="7"/>
  <c r="J65" i="7"/>
  <c r="I65" i="7"/>
  <c r="H65" i="7"/>
  <c r="G65" i="7"/>
  <c r="F65" i="7"/>
  <c r="E65" i="7"/>
  <c r="D65" i="7"/>
  <c r="M59" i="7"/>
  <c r="L59" i="7"/>
  <c r="K59" i="7"/>
  <c r="J59" i="7"/>
  <c r="I59" i="7"/>
  <c r="H59" i="7"/>
  <c r="G59" i="7"/>
  <c r="F59" i="7"/>
  <c r="E59" i="7"/>
  <c r="D59" i="7"/>
  <c r="M65" i="3"/>
  <c r="L65" i="3"/>
  <c r="K65" i="3"/>
  <c r="J65" i="3"/>
  <c r="I65" i="3"/>
  <c r="H65" i="3"/>
  <c r="G65" i="3"/>
  <c r="F65" i="3"/>
  <c r="E65" i="3"/>
  <c r="M59" i="3"/>
  <c r="L59" i="3"/>
  <c r="K59" i="3"/>
  <c r="J59" i="3"/>
  <c r="I59" i="3"/>
  <c r="H59" i="3"/>
  <c r="G59" i="3"/>
  <c r="F59" i="3"/>
  <c r="E59" i="3"/>
  <c r="M25" i="3"/>
  <c r="L25" i="3"/>
  <c r="K25" i="3"/>
  <c r="J25" i="3"/>
  <c r="I25" i="3"/>
  <c r="H25" i="3"/>
  <c r="G25" i="3"/>
  <c r="F25" i="3"/>
  <c r="E25" i="3"/>
  <c r="M25" i="7"/>
  <c r="L25" i="7"/>
  <c r="K25" i="7"/>
  <c r="J25" i="7"/>
  <c r="I25" i="7"/>
  <c r="H25" i="7"/>
  <c r="G25" i="7"/>
  <c r="F25" i="7"/>
  <c r="E25" i="7"/>
  <c r="D25" i="7"/>
  <c r="M74" i="7"/>
  <c r="L74" i="7"/>
  <c r="K74" i="7"/>
  <c r="J74" i="7"/>
  <c r="I74" i="7"/>
  <c r="H74" i="7"/>
  <c r="G74" i="7"/>
  <c r="F74" i="7"/>
  <c r="E74" i="7"/>
  <c r="D74" i="7"/>
  <c r="M74" i="3"/>
  <c r="L74" i="3"/>
  <c r="K74" i="3"/>
  <c r="J74" i="3"/>
  <c r="I74" i="3"/>
  <c r="H74" i="3"/>
  <c r="G74" i="3"/>
  <c r="F74" i="3"/>
  <c r="E74" i="3"/>
  <c r="M85" i="7"/>
  <c r="L85" i="7"/>
  <c r="K85" i="7"/>
  <c r="J85" i="7"/>
  <c r="I85" i="7"/>
  <c r="H85" i="7"/>
  <c r="G85" i="7"/>
  <c r="F85" i="7"/>
  <c r="E85" i="7"/>
  <c r="D85" i="7"/>
  <c r="M85" i="3"/>
  <c r="L85" i="3"/>
  <c r="K85" i="3"/>
  <c r="J85" i="3"/>
  <c r="I85" i="3"/>
  <c r="H85" i="3"/>
  <c r="G85" i="3"/>
  <c r="F85" i="3"/>
  <c r="E85" i="3"/>
  <c r="F5" i="16" l="1"/>
  <c r="F3" i="16"/>
  <c r="G6" i="16"/>
  <c r="G4" i="16"/>
  <c r="G5" i="16"/>
  <c r="F4" i="17"/>
  <c r="F3" i="17" s="1"/>
  <c r="G5" i="17"/>
  <c r="N69" i="3"/>
  <c r="N69" i="7"/>
  <c r="N59" i="3"/>
  <c r="N61" i="7"/>
  <c r="N62" i="7"/>
  <c r="N63" i="3"/>
  <c r="N63" i="7"/>
  <c r="N62" i="3"/>
  <c r="N61" i="3"/>
  <c r="N25" i="3"/>
  <c r="N59" i="7"/>
  <c r="N74" i="3"/>
  <c r="N25" i="7"/>
  <c r="N65" i="3"/>
  <c r="N65" i="7"/>
  <c r="N74" i="7"/>
  <c r="N30" i="7"/>
  <c r="N30" i="3"/>
  <c r="M92" i="7"/>
  <c r="M93" i="7" s="1"/>
  <c r="L92" i="7"/>
  <c r="L93" i="7" s="1"/>
  <c r="K92" i="7"/>
  <c r="K93" i="7" s="1"/>
  <c r="J92" i="7"/>
  <c r="J93" i="7" s="1"/>
  <c r="I92" i="7"/>
  <c r="I93" i="7" s="1"/>
  <c r="H92" i="7"/>
  <c r="H93" i="7" s="1"/>
  <c r="G92" i="7"/>
  <c r="G93" i="7" s="1"/>
  <c r="F92" i="7"/>
  <c r="F93" i="7" s="1"/>
  <c r="E92" i="7"/>
  <c r="E93" i="7" s="1"/>
  <c r="D92" i="7"/>
  <c r="D93" i="7" s="1"/>
  <c r="M83" i="7"/>
  <c r="L83" i="7"/>
  <c r="K83" i="7"/>
  <c r="J83" i="7"/>
  <c r="I83" i="7"/>
  <c r="H83" i="7"/>
  <c r="G83" i="7"/>
  <c r="F83" i="7"/>
  <c r="E83" i="7"/>
  <c r="D83" i="7"/>
  <c r="M76" i="7"/>
  <c r="L76" i="7"/>
  <c r="K76" i="7"/>
  <c r="J76" i="7"/>
  <c r="I76" i="7"/>
  <c r="H76" i="7"/>
  <c r="G76" i="7"/>
  <c r="F76" i="7"/>
  <c r="E76" i="7"/>
  <c r="D76" i="7"/>
  <c r="M75" i="7"/>
  <c r="L75" i="7"/>
  <c r="K75" i="7"/>
  <c r="J75" i="7"/>
  <c r="I75" i="7"/>
  <c r="H75" i="7"/>
  <c r="G75" i="7"/>
  <c r="F75" i="7"/>
  <c r="E75" i="7"/>
  <c r="D75" i="7"/>
  <c r="M73" i="7"/>
  <c r="L73" i="7"/>
  <c r="K73" i="7"/>
  <c r="J73" i="7"/>
  <c r="I73" i="7"/>
  <c r="H73" i="7"/>
  <c r="G73" i="7"/>
  <c r="F73" i="7"/>
  <c r="E73" i="7"/>
  <c r="D73" i="7"/>
  <c r="M71" i="7"/>
  <c r="L71" i="7"/>
  <c r="K71" i="7"/>
  <c r="J71" i="7"/>
  <c r="I71" i="7"/>
  <c r="H71" i="7"/>
  <c r="G71" i="7"/>
  <c r="F71" i="7"/>
  <c r="E71" i="7"/>
  <c r="D71" i="7"/>
  <c r="M70" i="7"/>
  <c r="L70" i="7"/>
  <c r="K70" i="7"/>
  <c r="J70" i="7"/>
  <c r="I70" i="7"/>
  <c r="H70" i="7"/>
  <c r="G70" i="7"/>
  <c r="F70" i="7"/>
  <c r="E70" i="7"/>
  <c r="D70" i="7"/>
  <c r="M68" i="7"/>
  <c r="L68" i="7"/>
  <c r="K68" i="7"/>
  <c r="J68" i="7"/>
  <c r="I68" i="7"/>
  <c r="H68" i="7"/>
  <c r="G68" i="7"/>
  <c r="F68" i="7"/>
  <c r="E68" i="7"/>
  <c r="D68" i="7"/>
  <c r="M44" i="7"/>
  <c r="L44" i="7"/>
  <c r="K44" i="7"/>
  <c r="J44" i="7"/>
  <c r="I44" i="7"/>
  <c r="H44" i="7"/>
  <c r="G44" i="7"/>
  <c r="F44" i="7"/>
  <c r="E44" i="7"/>
  <c r="D44" i="7"/>
  <c r="M42" i="7"/>
  <c r="L42" i="7"/>
  <c r="K42" i="7"/>
  <c r="J42" i="7"/>
  <c r="I42" i="7"/>
  <c r="H42" i="7"/>
  <c r="G42" i="7"/>
  <c r="F42" i="7"/>
  <c r="E42" i="7"/>
  <c r="D42" i="7"/>
  <c r="M41" i="7"/>
  <c r="L41" i="7"/>
  <c r="K41" i="7"/>
  <c r="J41" i="7"/>
  <c r="I41" i="7"/>
  <c r="H41" i="7"/>
  <c r="G41" i="7"/>
  <c r="F41" i="7"/>
  <c r="E41" i="7"/>
  <c r="D41" i="7"/>
  <c r="M40" i="7"/>
  <c r="L40" i="7"/>
  <c r="K40" i="7"/>
  <c r="J40" i="7"/>
  <c r="I40" i="7"/>
  <c r="H40" i="7"/>
  <c r="G40" i="7"/>
  <c r="F40" i="7"/>
  <c r="E40" i="7"/>
  <c r="D40" i="7"/>
  <c r="M39" i="7"/>
  <c r="L39" i="7"/>
  <c r="K39" i="7"/>
  <c r="J39" i="7"/>
  <c r="I39" i="7"/>
  <c r="H39" i="7"/>
  <c r="G39" i="7"/>
  <c r="F39" i="7"/>
  <c r="E39" i="7"/>
  <c r="D39" i="7"/>
  <c r="M34" i="7"/>
  <c r="L34" i="7"/>
  <c r="K34" i="7"/>
  <c r="J34" i="7"/>
  <c r="I34" i="7"/>
  <c r="H34" i="7"/>
  <c r="G34" i="7"/>
  <c r="F34" i="7"/>
  <c r="E34" i="7"/>
  <c r="D34" i="7"/>
  <c r="M33" i="7"/>
  <c r="L33" i="7"/>
  <c r="K33" i="7"/>
  <c r="J33" i="7"/>
  <c r="I33" i="7"/>
  <c r="H33" i="7"/>
  <c r="G33" i="7"/>
  <c r="F33" i="7"/>
  <c r="E33" i="7"/>
  <c r="D33" i="7"/>
  <c r="M32" i="7"/>
  <c r="L32" i="7"/>
  <c r="K32" i="7"/>
  <c r="J32" i="7"/>
  <c r="I32" i="7"/>
  <c r="H32" i="7"/>
  <c r="G32" i="7"/>
  <c r="F32" i="7"/>
  <c r="E32" i="7"/>
  <c r="D32" i="7"/>
  <c r="M31" i="7"/>
  <c r="L31" i="7"/>
  <c r="K31" i="7"/>
  <c r="J31" i="7"/>
  <c r="I31" i="7"/>
  <c r="H31" i="7"/>
  <c r="G31" i="7"/>
  <c r="F31" i="7"/>
  <c r="E31" i="7"/>
  <c r="D31" i="7"/>
  <c r="M26" i="7"/>
  <c r="L26" i="7"/>
  <c r="K26" i="7"/>
  <c r="J26" i="7"/>
  <c r="I26" i="7"/>
  <c r="H26" i="7"/>
  <c r="G26" i="7"/>
  <c r="F26" i="7"/>
  <c r="E26" i="7"/>
  <c r="D26" i="7"/>
  <c r="M21" i="7"/>
  <c r="L21" i="7"/>
  <c r="K21" i="7"/>
  <c r="J21" i="7"/>
  <c r="I21" i="7"/>
  <c r="H21" i="7"/>
  <c r="G21" i="7"/>
  <c r="F21" i="7"/>
  <c r="E21" i="7"/>
  <c r="D21" i="7"/>
  <c r="M20" i="7"/>
  <c r="L20" i="7"/>
  <c r="K20" i="7"/>
  <c r="J20" i="7"/>
  <c r="I20" i="7"/>
  <c r="H20" i="7"/>
  <c r="G20" i="7"/>
  <c r="F20" i="7"/>
  <c r="E20" i="7"/>
  <c r="D20" i="7"/>
  <c r="M19" i="7"/>
  <c r="L19" i="7"/>
  <c r="K19" i="7"/>
  <c r="J19" i="7"/>
  <c r="I19" i="7"/>
  <c r="H19" i="7"/>
  <c r="G19" i="7"/>
  <c r="F19" i="7"/>
  <c r="E19" i="7"/>
  <c r="D19" i="7"/>
  <c r="M18" i="7"/>
  <c r="L18" i="7"/>
  <c r="K18" i="7"/>
  <c r="J18" i="7"/>
  <c r="I18" i="7"/>
  <c r="H18" i="7"/>
  <c r="G18" i="7"/>
  <c r="F18" i="7"/>
  <c r="E18" i="7"/>
  <c r="D18" i="7"/>
  <c r="M17" i="7"/>
  <c r="L17" i="7"/>
  <c r="K17" i="7"/>
  <c r="J17" i="7"/>
  <c r="I17" i="7"/>
  <c r="H17" i="7"/>
  <c r="G17" i="7"/>
  <c r="F17" i="7"/>
  <c r="E17" i="7"/>
  <c r="D17" i="7"/>
  <c r="M16" i="7"/>
  <c r="L16" i="7"/>
  <c r="K16" i="7"/>
  <c r="J16" i="7"/>
  <c r="I16" i="7"/>
  <c r="H16" i="7"/>
  <c r="G16" i="7"/>
  <c r="F16" i="7"/>
  <c r="E16" i="7"/>
  <c r="D16" i="7"/>
  <c r="M15" i="7"/>
  <c r="L15" i="7"/>
  <c r="K15" i="7"/>
  <c r="J15" i="7"/>
  <c r="I15" i="7"/>
  <c r="H15" i="7"/>
  <c r="G15" i="7"/>
  <c r="F15" i="7"/>
  <c r="E15" i="7"/>
  <c r="D15" i="7"/>
  <c r="M14" i="7"/>
  <c r="L14" i="7"/>
  <c r="K14" i="7"/>
  <c r="J14" i="7"/>
  <c r="I14" i="7"/>
  <c r="H14" i="7"/>
  <c r="G14" i="7"/>
  <c r="F14" i="7"/>
  <c r="E14" i="7"/>
  <c r="D14" i="7"/>
  <c r="M13" i="7"/>
  <c r="L13" i="7"/>
  <c r="K13" i="7"/>
  <c r="J13" i="7"/>
  <c r="I13" i="7"/>
  <c r="H13" i="7"/>
  <c r="G13" i="7"/>
  <c r="F13" i="7"/>
  <c r="E13" i="7"/>
  <c r="D13" i="7"/>
  <c r="M12" i="7"/>
  <c r="L12" i="7"/>
  <c r="K12" i="7"/>
  <c r="J12" i="7"/>
  <c r="I12" i="7"/>
  <c r="H12" i="7"/>
  <c r="G12" i="7"/>
  <c r="F12" i="7"/>
  <c r="E12" i="7"/>
  <c r="D12" i="7"/>
  <c r="M11" i="7"/>
  <c r="L11" i="7"/>
  <c r="K11" i="7"/>
  <c r="J11" i="7"/>
  <c r="I11" i="7"/>
  <c r="H11" i="7"/>
  <c r="G11" i="7"/>
  <c r="F11" i="7"/>
  <c r="E11" i="7"/>
  <c r="D11" i="7"/>
  <c r="M10" i="7"/>
  <c r="L10" i="7"/>
  <c r="K10" i="7"/>
  <c r="J10" i="7"/>
  <c r="I10" i="7"/>
  <c r="H10" i="7"/>
  <c r="G10" i="7"/>
  <c r="F10" i="7"/>
  <c r="E10" i="7"/>
  <c r="D10" i="7"/>
  <c r="M9" i="7"/>
  <c r="L9" i="7"/>
  <c r="K9" i="7"/>
  <c r="J9" i="7"/>
  <c r="I9" i="7"/>
  <c r="H9" i="7"/>
  <c r="G9" i="7"/>
  <c r="F9" i="7"/>
  <c r="E9" i="7"/>
  <c r="D9" i="7"/>
  <c r="M8" i="7"/>
  <c r="L8" i="7"/>
  <c r="K8" i="7"/>
  <c r="J8" i="7"/>
  <c r="I8" i="7"/>
  <c r="H8" i="7"/>
  <c r="G8" i="7"/>
  <c r="F8" i="7"/>
  <c r="E8" i="7"/>
  <c r="D8" i="7"/>
  <c r="M7" i="7"/>
  <c r="L7" i="7"/>
  <c r="K7" i="7"/>
  <c r="J7" i="7"/>
  <c r="I7" i="7"/>
  <c r="H7" i="7"/>
  <c r="G7" i="7"/>
  <c r="F7" i="7"/>
  <c r="E7" i="7"/>
  <c r="D7" i="7"/>
  <c r="M6" i="7"/>
  <c r="L6" i="7"/>
  <c r="K6" i="7"/>
  <c r="J6" i="7"/>
  <c r="I6" i="7"/>
  <c r="H6" i="7"/>
  <c r="G6" i="7"/>
  <c r="F6" i="7"/>
  <c r="E6" i="7"/>
  <c r="D6" i="7"/>
  <c r="M5" i="7"/>
  <c r="L5" i="7"/>
  <c r="K5" i="7"/>
  <c r="J5" i="7"/>
  <c r="I5" i="7"/>
  <c r="H5" i="7"/>
  <c r="G5" i="7"/>
  <c r="F5" i="7"/>
  <c r="E5" i="7"/>
  <c r="D5" i="7"/>
  <c r="M92" i="3"/>
  <c r="L92" i="3"/>
  <c r="K92" i="3"/>
  <c r="J92" i="3"/>
  <c r="I92" i="3"/>
  <c r="H92" i="3"/>
  <c r="G92" i="3"/>
  <c r="F92" i="3"/>
  <c r="E92" i="3"/>
  <c r="M83" i="3"/>
  <c r="L83" i="3"/>
  <c r="K83" i="3"/>
  <c r="J83" i="3"/>
  <c r="I83" i="3"/>
  <c r="H83" i="3"/>
  <c r="G83" i="3"/>
  <c r="F83" i="3"/>
  <c r="E83" i="3"/>
  <c r="M76" i="3"/>
  <c r="L76" i="3"/>
  <c r="K76" i="3"/>
  <c r="J76" i="3"/>
  <c r="I76" i="3"/>
  <c r="H76" i="3"/>
  <c r="G76" i="3"/>
  <c r="F76" i="3"/>
  <c r="E76" i="3"/>
  <c r="M75" i="3"/>
  <c r="L75" i="3"/>
  <c r="K75" i="3"/>
  <c r="J75" i="3"/>
  <c r="I75" i="3"/>
  <c r="H75" i="3"/>
  <c r="G75" i="3"/>
  <c r="F75" i="3"/>
  <c r="E75" i="3"/>
  <c r="M73" i="3"/>
  <c r="L73" i="3"/>
  <c r="K73" i="3"/>
  <c r="J73" i="3"/>
  <c r="I73" i="3"/>
  <c r="H73" i="3"/>
  <c r="G73" i="3"/>
  <c r="F73" i="3"/>
  <c r="E73" i="3"/>
  <c r="M71" i="3"/>
  <c r="L71" i="3"/>
  <c r="K71" i="3"/>
  <c r="J71" i="3"/>
  <c r="I71" i="3"/>
  <c r="H71" i="3"/>
  <c r="G71" i="3"/>
  <c r="F71" i="3"/>
  <c r="E71" i="3"/>
  <c r="M70" i="3"/>
  <c r="L70" i="3"/>
  <c r="K70" i="3"/>
  <c r="J70" i="3"/>
  <c r="I70" i="3"/>
  <c r="H70" i="3"/>
  <c r="G70" i="3"/>
  <c r="F70" i="3"/>
  <c r="E70" i="3"/>
  <c r="M68" i="3"/>
  <c r="L68" i="3"/>
  <c r="K68" i="3"/>
  <c r="J68" i="3"/>
  <c r="I68" i="3"/>
  <c r="H68" i="3"/>
  <c r="G68" i="3"/>
  <c r="F68" i="3"/>
  <c r="E68" i="3"/>
  <c r="M44" i="3"/>
  <c r="L44" i="3"/>
  <c r="K44" i="3"/>
  <c r="J44" i="3"/>
  <c r="I44" i="3"/>
  <c r="H44" i="3"/>
  <c r="G44" i="3"/>
  <c r="F44" i="3"/>
  <c r="E44" i="3"/>
  <c r="M42" i="3"/>
  <c r="L42" i="3"/>
  <c r="K42" i="3"/>
  <c r="J42" i="3"/>
  <c r="I42" i="3"/>
  <c r="H42" i="3"/>
  <c r="G42" i="3"/>
  <c r="F42" i="3"/>
  <c r="E42" i="3"/>
  <c r="M41" i="3"/>
  <c r="L41" i="3"/>
  <c r="K41" i="3"/>
  <c r="J41" i="3"/>
  <c r="I41" i="3"/>
  <c r="H41" i="3"/>
  <c r="G41" i="3"/>
  <c r="F41" i="3"/>
  <c r="E41" i="3"/>
  <c r="M40" i="3"/>
  <c r="L40" i="3"/>
  <c r="K40" i="3"/>
  <c r="J40" i="3"/>
  <c r="I40" i="3"/>
  <c r="H40" i="3"/>
  <c r="G40" i="3"/>
  <c r="F40" i="3"/>
  <c r="E40" i="3"/>
  <c r="M39" i="3"/>
  <c r="L39" i="3"/>
  <c r="K39" i="3"/>
  <c r="J39" i="3"/>
  <c r="I39" i="3"/>
  <c r="H39" i="3"/>
  <c r="G39" i="3"/>
  <c r="F39" i="3"/>
  <c r="E39" i="3"/>
  <c r="M34" i="3"/>
  <c r="L34" i="3"/>
  <c r="K34" i="3"/>
  <c r="J34" i="3"/>
  <c r="I34" i="3"/>
  <c r="H34" i="3"/>
  <c r="G34" i="3"/>
  <c r="F34" i="3"/>
  <c r="E34" i="3"/>
  <c r="M33" i="3"/>
  <c r="L33" i="3"/>
  <c r="K33" i="3"/>
  <c r="J33" i="3"/>
  <c r="I33" i="3"/>
  <c r="H33" i="3"/>
  <c r="G33" i="3"/>
  <c r="F33" i="3"/>
  <c r="E33" i="3"/>
  <c r="M32" i="3"/>
  <c r="L32" i="3"/>
  <c r="K32" i="3"/>
  <c r="J32" i="3"/>
  <c r="I32" i="3"/>
  <c r="H32" i="3"/>
  <c r="G32" i="3"/>
  <c r="F32" i="3"/>
  <c r="E32" i="3"/>
  <c r="M31" i="3"/>
  <c r="L31" i="3"/>
  <c r="K31" i="3"/>
  <c r="J31" i="3"/>
  <c r="I31" i="3"/>
  <c r="H31" i="3"/>
  <c r="G31" i="3"/>
  <c r="F31" i="3"/>
  <c r="E31" i="3"/>
  <c r="M26" i="3"/>
  <c r="L26" i="3"/>
  <c r="K26" i="3"/>
  <c r="J26" i="3"/>
  <c r="I26" i="3"/>
  <c r="H26" i="3"/>
  <c r="G26" i="3"/>
  <c r="F26" i="3"/>
  <c r="E26" i="3"/>
  <c r="M21" i="3"/>
  <c r="L21" i="3"/>
  <c r="K21" i="3"/>
  <c r="J21" i="3"/>
  <c r="I21" i="3"/>
  <c r="H21" i="3"/>
  <c r="G21" i="3"/>
  <c r="F21" i="3"/>
  <c r="E21" i="3"/>
  <c r="M20" i="3"/>
  <c r="L20" i="3"/>
  <c r="K20" i="3"/>
  <c r="J20" i="3"/>
  <c r="I20" i="3"/>
  <c r="H20" i="3"/>
  <c r="G20" i="3"/>
  <c r="F20" i="3"/>
  <c r="E20" i="3"/>
  <c r="M19" i="3"/>
  <c r="L19" i="3"/>
  <c r="K19" i="3"/>
  <c r="J19" i="3"/>
  <c r="I19" i="3"/>
  <c r="H19" i="3"/>
  <c r="G19" i="3"/>
  <c r="F19" i="3"/>
  <c r="E19" i="3"/>
  <c r="M18" i="3"/>
  <c r="L18" i="3"/>
  <c r="K18" i="3"/>
  <c r="J18" i="3"/>
  <c r="I18" i="3"/>
  <c r="H18" i="3"/>
  <c r="G18" i="3"/>
  <c r="F18" i="3"/>
  <c r="E18" i="3"/>
  <c r="M17" i="3"/>
  <c r="L17" i="3"/>
  <c r="K17" i="3"/>
  <c r="J17" i="3"/>
  <c r="I17" i="3"/>
  <c r="H17" i="3"/>
  <c r="G17" i="3"/>
  <c r="F17" i="3"/>
  <c r="E17" i="3"/>
  <c r="M16" i="3"/>
  <c r="L16" i="3"/>
  <c r="K16" i="3"/>
  <c r="J16" i="3"/>
  <c r="I16" i="3"/>
  <c r="H16" i="3"/>
  <c r="G16" i="3"/>
  <c r="F16" i="3"/>
  <c r="E16" i="3"/>
  <c r="M15" i="3"/>
  <c r="L15" i="3"/>
  <c r="K15" i="3"/>
  <c r="J15" i="3"/>
  <c r="I15" i="3"/>
  <c r="H15" i="3"/>
  <c r="G15" i="3"/>
  <c r="F15" i="3"/>
  <c r="E15" i="3"/>
  <c r="M14" i="3"/>
  <c r="L14" i="3"/>
  <c r="K14" i="3"/>
  <c r="J14" i="3"/>
  <c r="I14" i="3"/>
  <c r="H14" i="3"/>
  <c r="G14" i="3"/>
  <c r="F14" i="3"/>
  <c r="E14" i="3"/>
  <c r="M13" i="3"/>
  <c r="L13" i="3"/>
  <c r="K13" i="3"/>
  <c r="J13" i="3"/>
  <c r="I13" i="3"/>
  <c r="H13" i="3"/>
  <c r="G13" i="3"/>
  <c r="F13" i="3"/>
  <c r="E13" i="3"/>
  <c r="M12" i="3"/>
  <c r="L12" i="3"/>
  <c r="K12" i="3"/>
  <c r="J12" i="3"/>
  <c r="I12" i="3"/>
  <c r="H12" i="3"/>
  <c r="G12" i="3"/>
  <c r="F12" i="3"/>
  <c r="E12" i="3"/>
  <c r="M11" i="3"/>
  <c r="L11" i="3"/>
  <c r="K11" i="3"/>
  <c r="J11" i="3"/>
  <c r="I11" i="3"/>
  <c r="H11" i="3"/>
  <c r="G11" i="3"/>
  <c r="F11" i="3"/>
  <c r="E11" i="3"/>
  <c r="M10" i="3"/>
  <c r="L10" i="3"/>
  <c r="K10" i="3"/>
  <c r="J10" i="3"/>
  <c r="I10" i="3"/>
  <c r="H10" i="3"/>
  <c r="G10" i="3"/>
  <c r="F10" i="3"/>
  <c r="E10" i="3"/>
  <c r="M9" i="3"/>
  <c r="L9" i="3"/>
  <c r="K9" i="3"/>
  <c r="J9" i="3"/>
  <c r="I9" i="3"/>
  <c r="H9" i="3"/>
  <c r="G9" i="3"/>
  <c r="F9" i="3"/>
  <c r="E9" i="3"/>
  <c r="M8" i="3"/>
  <c r="L8" i="3"/>
  <c r="K8" i="3"/>
  <c r="J8" i="3"/>
  <c r="I8" i="3"/>
  <c r="H8" i="3"/>
  <c r="G8" i="3"/>
  <c r="F8" i="3"/>
  <c r="E8" i="3"/>
  <c r="M7" i="3"/>
  <c r="L7" i="3"/>
  <c r="K7" i="3"/>
  <c r="J7" i="3"/>
  <c r="I7" i="3"/>
  <c r="H7" i="3"/>
  <c r="G7" i="3"/>
  <c r="F7" i="3"/>
  <c r="E7" i="3"/>
  <c r="M6" i="3"/>
  <c r="L6" i="3"/>
  <c r="K6" i="3"/>
  <c r="J6" i="3"/>
  <c r="I6" i="3"/>
  <c r="H6" i="3"/>
  <c r="G6" i="3"/>
  <c r="F6" i="3"/>
  <c r="E6" i="3"/>
  <c r="M5" i="3"/>
  <c r="L5" i="3"/>
  <c r="K5" i="3"/>
  <c r="J5" i="3"/>
  <c r="I5" i="3"/>
  <c r="H5" i="3"/>
  <c r="G5" i="3"/>
  <c r="F5" i="3"/>
  <c r="E5" i="3"/>
  <c r="G3" i="16" l="1"/>
  <c r="H4" i="16"/>
  <c r="H5" i="16"/>
  <c r="H6" i="16"/>
  <c r="G4" i="17"/>
  <c r="G3" i="17" s="1"/>
  <c r="H5" i="17"/>
  <c r="F89" i="7"/>
  <c r="J89" i="7"/>
  <c r="I22" i="7"/>
  <c r="I89" i="7"/>
  <c r="M89" i="7"/>
  <c r="E22" i="7"/>
  <c r="M22" i="7"/>
  <c r="N33" i="7"/>
  <c r="E36" i="7"/>
  <c r="M36" i="7"/>
  <c r="F22" i="7"/>
  <c r="N11" i="7"/>
  <c r="N15" i="7"/>
  <c r="N26" i="7"/>
  <c r="N57" i="7"/>
  <c r="N68" i="7"/>
  <c r="N70" i="7"/>
  <c r="N75" i="7"/>
  <c r="N76" i="7"/>
  <c r="N85" i="7"/>
  <c r="N8" i="7"/>
  <c r="N14" i="7"/>
  <c r="N18" i="7"/>
  <c r="N32" i="7"/>
  <c r="N35" i="7"/>
  <c r="N39" i="7"/>
  <c r="N42" i="7"/>
  <c r="G22" i="7"/>
  <c r="N6" i="7"/>
  <c r="N13" i="7"/>
  <c r="N17" i="7"/>
  <c r="G36" i="7"/>
  <c r="G89" i="7"/>
  <c r="K89" i="7"/>
  <c r="N41" i="7"/>
  <c r="N49" i="7"/>
  <c r="N73" i="7"/>
  <c r="N83" i="7"/>
  <c r="I36" i="7"/>
  <c r="E89" i="7"/>
  <c r="J22" i="7"/>
  <c r="N12" i="7"/>
  <c r="N19" i="7"/>
  <c r="N56" i="7"/>
  <c r="K22" i="7"/>
  <c r="N10" i="7"/>
  <c r="N21" i="7"/>
  <c r="K36" i="7"/>
  <c r="D22" i="7"/>
  <c r="H22" i="7"/>
  <c r="L22" i="7"/>
  <c r="N9" i="7"/>
  <c r="N16" i="7"/>
  <c r="N20" i="7"/>
  <c r="D36" i="7"/>
  <c r="H36" i="7"/>
  <c r="L36" i="7"/>
  <c r="F36" i="7"/>
  <c r="J36" i="7"/>
  <c r="N29" i="7"/>
  <c r="N31" i="7"/>
  <c r="N34" i="7"/>
  <c r="N40" i="7"/>
  <c r="H89" i="7"/>
  <c r="L89" i="7"/>
  <c r="N44" i="7"/>
  <c r="N58" i="7"/>
  <c r="N71" i="7"/>
  <c r="N54" i="7"/>
  <c r="N7" i="7"/>
  <c r="N84" i="7"/>
  <c r="D89" i="7"/>
  <c r="N28" i="7"/>
  <c r="N92" i="7"/>
  <c r="N93" i="7" s="1"/>
  <c r="N5" i="7"/>
  <c r="N27" i="7"/>
  <c r="H3" i="16" l="1"/>
  <c r="I6" i="16"/>
  <c r="I5" i="16"/>
  <c r="I4" i="16"/>
  <c r="H4" i="17"/>
  <c r="H3" i="17" s="1"/>
  <c r="I5" i="17"/>
  <c r="F95" i="7"/>
  <c r="G6" i="17" s="1"/>
  <c r="J95" i="7"/>
  <c r="K6" i="17" s="1"/>
  <c r="E95" i="7"/>
  <c r="F6" i="17" s="1"/>
  <c r="M95" i="7"/>
  <c r="N6" i="17" s="1"/>
  <c r="G95" i="7"/>
  <c r="H6" i="17" s="1"/>
  <c r="L95" i="7"/>
  <c r="M6" i="17" s="1"/>
  <c r="H95" i="7"/>
  <c r="I6" i="17" s="1"/>
  <c r="K95" i="7"/>
  <c r="L6" i="17" s="1"/>
  <c r="I95" i="7"/>
  <c r="J6" i="17" s="1"/>
  <c r="N36" i="7"/>
  <c r="D95" i="7"/>
  <c r="E6" i="17" s="1"/>
  <c r="N22" i="7"/>
  <c r="N89" i="7"/>
  <c r="I3" i="16" l="1"/>
  <c r="J5" i="16"/>
  <c r="J4" i="16"/>
  <c r="J6" i="16"/>
  <c r="I4" i="17"/>
  <c r="I3" i="17" s="1"/>
  <c r="J5" i="17"/>
  <c r="N95" i="7"/>
  <c r="N21" i="3"/>
  <c r="N35" i="3"/>
  <c r="N9" i="3"/>
  <c r="M93" i="3"/>
  <c r="L93" i="3"/>
  <c r="K93" i="3"/>
  <c r="J93" i="3"/>
  <c r="I93" i="3"/>
  <c r="H93" i="3"/>
  <c r="J3" i="16" l="1"/>
  <c r="K4" i="16"/>
  <c r="K5" i="16"/>
  <c r="K6" i="16"/>
  <c r="J4" i="17"/>
  <c r="J3" i="17" s="1"/>
  <c r="K5" i="17"/>
  <c r="N32" i="3"/>
  <c r="N34" i="3"/>
  <c r="N39" i="3"/>
  <c r="N56" i="3"/>
  <c r="N85" i="3"/>
  <c r="N73" i="3"/>
  <c r="N83" i="3"/>
  <c r="N31" i="3"/>
  <c r="N11" i="3"/>
  <c r="N18" i="3"/>
  <c r="N5" i="3"/>
  <c r="N12" i="3"/>
  <c r="N13" i="3"/>
  <c r="N33" i="3"/>
  <c r="N40" i="3"/>
  <c r="N44" i="3"/>
  <c r="N68" i="3"/>
  <c r="N14" i="3"/>
  <c r="N20" i="3"/>
  <c r="N29" i="3"/>
  <c r="N57" i="3"/>
  <c r="N54" i="3"/>
  <c r="N16" i="3"/>
  <c r="N15" i="3"/>
  <c r="N19" i="3"/>
  <c r="N26" i="3"/>
  <c r="N28" i="3"/>
  <c r="N7" i="3"/>
  <c r="N41" i="3"/>
  <c r="N84" i="3"/>
  <c r="N58" i="3"/>
  <c r="N70" i="3"/>
  <c r="N75" i="3"/>
  <c r="N92" i="3"/>
  <c r="N93" i="3" s="1"/>
  <c r="N17" i="3"/>
  <c r="N8" i="3"/>
  <c r="N27" i="3"/>
  <c r="N6" i="3"/>
  <c r="N42" i="3"/>
  <c r="N49" i="3"/>
  <c r="N71" i="3"/>
  <c r="N76" i="3"/>
  <c r="F89" i="3"/>
  <c r="J89" i="3"/>
  <c r="G89" i="3"/>
  <c r="K89" i="3"/>
  <c r="D89" i="3"/>
  <c r="H89" i="3"/>
  <c r="L89" i="3"/>
  <c r="E89" i="3"/>
  <c r="I89" i="3"/>
  <c r="M89" i="3"/>
  <c r="J36" i="3"/>
  <c r="H36" i="3"/>
  <c r="L36" i="3"/>
  <c r="K36" i="3"/>
  <c r="I36" i="3"/>
  <c r="M36" i="3"/>
  <c r="M22" i="3"/>
  <c r="I22" i="3"/>
  <c r="K3" i="16" l="1"/>
  <c r="L5" i="16"/>
  <c r="L6" i="16"/>
  <c r="L4" i="16"/>
  <c r="K4" i="17"/>
  <c r="K3" i="17" s="1"/>
  <c r="L5" i="17"/>
  <c r="J22" i="3"/>
  <c r="J95" i="3" s="1"/>
  <c r="K7" i="16" s="1"/>
  <c r="M95" i="3"/>
  <c r="N7" i="16" s="1"/>
  <c r="N89" i="3"/>
  <c r="K22" i="3"/>
  <c r="K95" i="3" s="1"/>
  <c r="L7" i="16" s="1"/>
  <c r="I95" i="3"/>
  <c r="J7" i="16" s="1"/>
  <c r="N36" i="3"/>
  <c r="H22" i="3"/>
  <c r="H95" i="3" s="1"/>
  <c r="I7" i="16" s="1"/>
  <c r="L22" i="3"/>
  <c r="L95" i="3" s="1"/>
  <c r="M7" i="16" s="1"/>
  <c r="L3" i="16" l="1"/>
  <c r="N6" i="16"/>
  <c r="M6" i="16"/>
  <c r="M4" i="16"/>
  <c r="M5" i="16"/>
  <c r="L4" i="17"/>
  <c r="L3" i="17" s="1"/>
  <c r="N5" i="17"/>
  <c r="M5" i="17"/>
  <c r="G22" i="3"/>
  <c r="E22" i="3"/>
  <c r="F22" i="3"/>
  <c r="D22" i="3"/>
  <c r="N10" i="3"/>
  <c r="G93" i="3"/>
  <c r="F93" i="3"/>
  <c r="E93" i="3"/>
  <c r="D93" i="3"/>
  <c r="G36" i="3"/>
  <c r="F36" i="3"/>
  <c r="E36" i="3"/>
  <c r="D36" i="3"/>
  <c r="M3" i="16" l="1"/>
  <c r="N4" i="16"/>
  <c r="N5" i="16"/>
  <c r="N4" i="17"/>
  <c r="N3" i="17" s="1"/>
  <c r="M4" i="17"/>
  <c r="M3" i="17" s="1"/>
  <c r="N22" i="3"/>
  <c r="N95" i="3" s="1"/>
  <c r="D95" i="3"/>
  <c r="E7" i="16" s="1"/>
  <c r="E95" i="3"/>
  <c r="F7" i="16" s="1"/>
  <c r="F95" i="3"/>
  <c r="G7" i="16" s="1"/>
  <c r="G95" i="3"/>
  <c r="H7" i="16" s="1"/>
  <c r="N3" i="16" l="1"/>
</calcChain>
</file>

<file path=xl/sharedStrings.xml><?xml version="1.0" encoding="utf-8"?>
<sst xmlns="http://schemas.openxmlformats.org/spreadsheetml/2006/main" count="1591" uniqueCount="448">
  <si>
    <t>Vendor/Payer Name</t>
  </si>
  <si>
    <t>Expense</t>
  </si>
  <si>
    <t>Description of Expense</t>
  </si>
  <si>
    <t>Date</t>
  </si>
  <si>
    <t xml:space="preserve">Reason/Purpose Activity Performed </t>
  </si>
  <si>
    <t>Notes/Comments/Questions</t>
  </si>
  <si>
    <t>GL if known</t>
  </si>
  <si>
    <t>Notes &amp; Comments</t>
  </si>
  <si>
    <t xml:space="preserve">    WAGES-ADMIN</t>
  </si>
  <si>
    <t xml:space="preserve">    CONTRACT LABOR/ADMIN</t>
  </si>
  <si>
    <t xml:space="preserve">    WAGES-MARKETING</t>
  </si>
  <si>
    <t xml:space="preserve">    WAGES-MED REC SPEC</t>
  </si>
  <si>
    <t xml:space="preserve">    WAGES-ON CALL PAY</t>
  </si>
  <si>
    <t xml:space="preserve">    ADV-EMPLOYEE</t>
  </si>
  <si>
    <t xml:space="preserve">    ADV-MARKETING</t>
  </si>
  <si>
    <t xml:space="preserve">    AMORTIZATION EXPENSE</t>
  </si>
  <si>
    <t xml:space="preserve">    AUTO/TRUCK EXPENSE</t>
  </si>
  <si>
    <t xml:space="preserve">    PRINTING EXPENSE</t>
  </si>
  <si>
    <t>CAPITAL COST</t>
  </si>
  <si>
    <t>Cost Category</t>
  </si>
  <si>
    <t>Cost Subcategory</t>
  </si>
  <si>
    <t>Categories</t>
  </si>
  <si>
    <t>CapitalCosts</t>
  </si>
  <si>
    <t>#</t>
  </si>
  <si>
    <t>WAGES-HHA</t>
  </si>
  <si>
    <t>WAGES-MSW</t>
  </si>
  <si>
    <t>WAGES-ST</t>
  </si>
  <si>
    <t>CONTRACT LABOR</t>
  </si>
  <si>
    <t>WAGES-RN</t>
  </si>
  <si>
    <t>WAGES-LPN</t>
  </si>
  <si>
    <t>WAGES-PT</t>
  </si>
  <si>
    <t>WAGES-PTA</t>
  </si>
  <si>
    <t>WAGES-OT</t>
  </si>
  <si>
    <t>WAGES-OTA</t>
  </si>
  <si>
    <t>Cost Detail Tracking</t>
  </si>
  <si>
    <t>Please itemize expenses incurred while providing patient care or supporting the environment of care for confirmed COVID-19-infected patients.</t>
  </si>
  <si>
    <t>Service Line</t>
  </si>
  <si>
    <t>Home Health</t>
  </si>
  <si>
    <t>Hospice</t>
  </si>
  <si>
    <t>If Covered, What Source?</t>
  </si>
  <si>
    <t>Yes</t>
  </si>
  <si>
    <t>No</t>
  </si>
  <si>
    <t>Month</t>
  </si>
  <si>
    <t>Definitions/Examples</t>
  </si>
  <si>
    <t>OTHER</t>
  </si>
  <si>
    <t>GENERAL</t>
  </si>
  <si>
    <t>WAGES-CHAPLAIN</t>
  </si>
  <si>
    <t>DME</t>
  </si>
  <si>
    <t>Direct Costs</t>
  </si>
  <si>
    <t>Indirect Costs</t>
  </si>
  <si>
    <t>VOLUNTEER SERVICE COORDINATION</t>
  </si>
  <si>
    <t>COMPUTER HARDWARE</t>
  </si>
  <si>
    <t>AMORTIZATION EXPENSE</t>
  </si>
  <si>
    <t>AUTO/TRUCK EXPENSE</t>
  </si>
  <si>
    <t>WAGES-PHYSICIAN</t>
  </si>
  <si>
    <t>WAGES-NP</t>
  </si>
  <si>
    <t>STORAGE</t>
  </si>
  <si>
    <t>POSTAGE</t>
  </si>
  <si>
    <t>OFFICE SUPPLIES</t>
  </si>
  <si>
    <t>MISCELLANEOUS</t>
  </si>
  <si>
    <t>MISC-USER FEES</t>
  </si>
  <si>
    <t>LICENSE &amp; PERMITS</t>
  </si>
  <si>
    <t>ADV-EMPLOYEE</t>
  </si>
  <si>
    <t>ADV-MARKETING</t>
  </si>
  <si>
    <t>PRINTING EXPENSE</t>
  </si>
  <si>
    <t>WAGES-ADMIN</t>
  </si>
  <si>
    <t>CONTRACT LABOR/ADMIN</t>
  </si>
  <si>
    <t>WAGES-MARKETING</t>
  </si>
  <si>
    <t>WAGES-MED REC SPEC</t>
  </si>
  <si>
    <t>WAGES-ON CALL PAY</t>
  </si>
  <si>
    <t>DirectCosts</t>
  </si>
  <si>
    <t>IndirectCosts</t>
  </si>
  <si>
    <t>Months</t>
  </si>
  <si>
    <t>MARCH</t>
  </si>
  <si>
    <t>APRIL</t>
  </si>
  <si>
    <t>MAY</t>
  </si>
  <si>
    <t>JUNE</t>
  </si>
  <si>
    <t>JULY</t>
  </si>
  <si>
    <t>AUGUST</t>
  </si>
  <si>
    <t>SEPTEMBER</t>
  </si>
  <si>
    <t>OCTOBER</t>
  </si>
  <si>
    <t>NOVEMBER</t>
  </si>
  <si>
    <t>DECEMBER</t>
  </si>
  <si>
    <t>DIRECT COSTS</t>
  </si>
  <si>
    <t>INDIRECT COSTS</t>
  </si>
  <si>
    <t>OTHER DIRECT</t>
  </si>
  <si>
    <t>Cost Increase Summary</t>
  </si>
  <si>
    <t xml:space="preserve">    TOTAL COVID-19 RELATED COSTS</t>
  </si>
  <si>
    <t>Total</t>
  </si>
  <si>
    <t>TOTAl DIRECT COSTS</t>
  </si>
  <si>
    <t>TOTAL INDIRECT COSTS</t>
  </si>
  <si>
    <t xml:space="preserve">    TOTAL OPERATING EXPENSES</t>
  </si>
  <si>
    <t>TOTAL CAPITAL COST</t>
  </si>
  <si>
    <t>CapitalCost</t>
  </si>
  <si>
    <t>MEDICAL SUPPLIES</t>
  </si>
  <si>
    <t>MILEAGE</t>
  </si>
  <si>
    <t>Cost Subcategory Definitions</t>
  </si>
  <si>
    <t>BANK CHARGES</t>
  </si>
  <si>
    <t>COMPUTER SOFTWARE</t>
  </si>
  <si>
    <t>COMPUTER MAINTENANCE</t>
  </si>
  <si>
    <t>DEPRECIATION EXPENSE</t>
  </si>
  <si>
    <t>IS SUPPORT-OTHER</t>
  </si>
  <si>
    <t>JANITORIAL/SECURITY</t>
  </si>
  <si>
    <t>LEASED COPIER</t>
  </si>
  <si>
    <t>LEASED VEHICLES</t>
  </si>
  <si>
    <t>PROF FEES-ACCT</t>
  </si>
  <si>
    <t>PROF FEES-CONSULTING</t>
  </si>
  <si>
    <t>PROF FEES-LEGAL</t>
  </si>
  <si>
    <t>PROF FEES-OTHER</t>
  </si>
  <si>
    <t>RENT</t>
  </si>
  <si>
    <t>REPAIRS/MAINTENANCE</t>
  </si>
  <si>
    <t>TELEPHONE-MOBILE</t>
  </si>
  <si>
    <t>TELEPHONE-OFFICE</t>
  </si>
  <si>
    <t>UTILITIES</t>
  </si>
  <si>
    <t>CAPITAL COSTS</t>
  </si>
  <si>
    <t>TELEHEALTH/TELEMEDICINE</t>
  </si>
  <si>
    <t>WAGES-MEDICAL DIRECTOR</t>
  </si>
  <si>
    <t>PATIENT TRANSPORTATION</t>
  </si>
  <si>
    <t>IMAGING</t>
  </si>
  <si>
    <t>LAB &amp; DIAGNOSTICS</t>
  </si>
  <si>
    <t>IPU-LAUNDRY</t>
  </si>
  <si>
    <t>IPU-HOUSEKEEPING</t>
  </si>
  <si>
    <t>IPU-DIETARY</t>
  </si>
  <si>
    <t>MISC-EMP MORALE</t>
  </si>
  <si>
    <t>DUES, FEES &amp; SUBSCRIPTIONS</t>
  </si>
  <si>
    <t>OPERATING COSTS</t>
  </si>
  <si>
    <t>OperatingCosts</t>
  </si>
  <si>
    <t>Data for COVID-19 Related Costs Only</t>
  </si>
  <si>
    <t>WAGES-CLINICAL MANAGER &amp; DON</t>
  </si>
  <si>
    <t xml:space="preserve">    WAGES-CLINICAL MANAGER &amp; DON</t>
  </si>
  <si>
    <t xml:space="preserve">    TOTAL OPERATING COSTS</t>
  </si>
  <si>
    <t>TECHNOLOGY</t>
  </si>
  <si>
    <t>Data Input Sheet (Home Health)</t>
  </si>
  <si>
    <t>January</t>
  </si>
  <si>
    <t>February</t>
  </si>
  <si>
    <t>March</t>
  </si>
  <si>
    <t>April</t>
  </si>
  <si>
    <t>May</t>
  </si>
  <si>
    <t>June</t>
  </si>
  <si>
    <t>July</t>
  </si>
  <si>
    <t>August</t>
  </si>
  <si>
    <t>September</t>
  </si>
  <si>
    <t>October</t>
  </si>
  <si>
    <t>November</t>
  </si>
  <si>
    <t>December</t>
  </si>
  <si>
    <t>Medicare</t>
  </si>
  <si>
    <t>Non-Medicare (PDGM)</t>
  </si>
  <si>
    <t>Total Revenue (FFS)</t>
  </si>
  <si>
    <t>Non-Medicare (FFS)</t>
  </si>
  <si>
    <t xml:space="preserve">PDGM Case Mix </t>
  </si>
  <si>
    <t>LUPA%</t>
  </si>
  <si>
    <t>Outlier%</t>
  </si>
  <si>
    <t>Average Daily Census (ADC)</t>
  </si>
  <si>
    <t>Average volume of patients on service with agency over a one month period, broken down by primary payor.</t>
  </si>
  <si>
    <t>Referrals</t>
  </si>
  <si>
    <t>Admissions</t>
  </si>
  <si>
    <t>Recertifications</t>
  </si>
  <si>
    <t>Total Visits</t>
  </si>
  <si>
    <t>Total Therapy Visits</t>
  </si>
  <si>
    <t>Average Length of Stay (LOS)</t>
  </si>
  <si>
    <t>Data Input Sheet (Hospice)</t>
  </si>
  <si>
    <t>Total Revenue</t>
  </si>
  <si>
    <t>Non-Medicare</t>
  </si>
  <si>
    <t>Total SIA Visits</t>
  </si>
  <si>
    <t>Total visit volume for all qualifying Service Intensity Add-on (SIA) visits, defined as SN and MSW visits that occur within seven (7) days of a patient's date of death.</t>
  </si>
  <si>
    <t>Total SIA Revenue</t>
  </si>
  <si>
    <t>Total revenue earned from SIA visits, calculated based on SIA reimbursement rates multiplied by volume of SIA visits.</t>
  </si>
  <si>
    <t>Total volume of referrals received by primary payor over a one month period.</t>
  </si>
  <si>
    <t>Total volume of patients admitted by primary payor over a one month period.</t>
  </si>
  <si>
    <t>Total Patients</t>
  </si>
  <si>
    <t>Average number of days from admission to discharge for all patients that received services within the month.</t>
  </si>
  <si>
    <t>Hospice House Occupancy</t>
  </si>
  <si>
    <t>Revenue Loss Worksheet</t>
  </si>
  <si>
    <t>Data for Traditional Medicare Only</t>
  </si>
  <si>
    <t>**Sequestration eliminated for DOS on 5/1</t>
  </si>
  <si>
    <t>Revenue</t>
  </si>
  <si>
    <t>Baseline</t>
  </si>
  <si>
    <t>Total Revenue w/o Seq.</t>
  </si>
  <si>
    <t>Case Mix</t>
  </si>
  <si>
    <t>PDGM Case Mix</t>
  </si>
  <si>
    <t>Adjustments</t>
  </si>
  <si>
    <t>Outlier %</t>
  </si>
  <si>
    <t>Census</t>
  </si>
  <si>
    <t xml:space="preserve">ADC </t>
  </si>
  <si>
    <t>Recerts</t>
  </si>
  <si>
    <t>Visits</t>
  </si>
  <si>
    <t>Avg. Length of Stay</t>
  </si>
  <si>
    <t>Data for Medicare Advantage Payors Rebimbursing under PDGM</t>
  </si>
  <si>
    <t>Data for Non-Medicare Payors Rebimbursing Fee-for Service</t>
  </si>
  <si>
    <t>Total Revenue w/o Seq</t>
  </si>
  <si>
    <t>Average LOS</t>
  </si>
  <si>
    <t>Data for Non-Medicare Payors</t>
  </si>
  <si>
    <t>COVID-19 Impacts</t>
  </si>
  <si>
    <t>HH Medicare</t>
  </si>
  <si>
    <t>HH Non-Medicare (FFS)</t>
  </si>
  <si>
    <t>Additional COVID-19 Costs</t>
  </si>
  <si>
    <t>Average Daily Census</t>
  </si>
  <si>
    <t>Total Referrals</t>
  </si>
  <si>
    <t>Total Recertifications</t>
  </si>
  <si>
    <t>KPIs</t>
  </si>
  <si>
    <t>Hospice Medicare</t>
  </si>
  <si>
    <t>Hospice Non-Medicare</t>
  </si>
  <si>
    <t>Total Admissions</t>
  </si>
  <si>
    <t>Hospice House Occupancy (if applicable)</t>
  </si>
  <si>
    <t>Total Medicare Days</t>
  </si>
  <si>
    <t>Routine</t>
  </si>
  <si>
    <t>General Inpatient</t>
  </si>
  <si>
    <t>Service Intensity Add-On (SIA)</t>
  </si>
  <si>
    <t>JANUARY</t>
  </si>
  <si>
    <t>FEBRUARY</t>
  </si>
  <si>
    <t>EMPLOYEE EXPENSE-401K</t>
  </si>
  <si>
    <t>EMPLOYEE EXPENSE-BACKGROUND CKS</t>
  </si>
  <si>
    <t>EMPLOYEE EXPENSE-DENTAL INS.</t>
  </si>
  <si>
    <t>EMPLOYEE EXPENSE-HEALTH INS.</t>
  </si>
  <si>
    <t>EMPLOYEE EXPENSE-TRAINING</t>
  </si>
  <si>
    <t>EMPLOYEE EXPENSE-VACCINES</t>
  </si>
  <si>
    <t>EMPLOYEE EXPENSE-UNIFORMS</t>
  </si>
  <si>
    <t>Cost</t>
  </si>
  <si>
    <t>General Instructions</t>
  </si>
  <si>
    <t>Relief Funding Revenue and Cost Tracking Tool</t>
  </si>
  <si>
    <r>
      <t xml:space="preserve">          </t>
    </r>
    <r>
      <rPr>
        <i/>
        <u/>
        <sz val="10"/>
        <color theme="1"/>
        <rFont val="Palatino Linotype"/>
        <family val="1"/>
      </rPr>
      <t>Cost Category</t>
    </r>
    <r>
      <rPr>
        <sz val="10"/>
        <color theme="1"/>
        <rFont val="Palatino Linotype"/>
        <family val="1"/>
      </rPr>
      <t>: the selection in this column will determine which Cost Subcategories are available for section in the next column.  The Appendix A tab will detail all Cost Subcategories under each Cost Category.</t>
    </r>
  </si>
  <si>
    <r>
      <t xml:space="preserve">          </t>
    </r>
    <r>
      <rPr>
        <i/>
        <u/>
        <sz val="10"/>
        <color theme="1"/>
        <rFont val="Palatino Linotype"/>
        <family val="1"/>
      </rPr>
      <t>Month</t>
    </r>
    <r>
      <rPr>
        <sz val="10"/>
        <color theme="1"/>
        <rFont val="Palatino Linotype"/>
        <family val="1"/>
      </rPr>
      <t>: this represents the month in which the cost was incurred</t>
    </r>
  </si>
  <si>
    <r>
      <t xml:space="preserve">          </t>
    </r>
    <r>
      <rPr>
        <i/>
        <u/>
        <sz val="10"/>
        <color theme="1"/>
        <rFont val="Palatino Linotype"/>
        <family val="1"/>
      </rPr>
      <t>Expense</t>
    </r>
    <r>
      <rPr>
        <sz val="10"/>
        <color theme="1"/>
        <rFont val="Palatino Linotype"/>
        <family val="1"/>
      </rPr>
      <t>: this repesents the total dollars spent on the selected Cost Subcategory</t>
    </r>
  </si>
  <si>
    <t>Covered by Another Funding Source?</t>
  </si>
  <si>
    <t>Charity Care</t>
  </si>
  <si>
    <t>Total earned revenue for the month.</t>
  </si>
  <si>
    <t>Visit Mix</t>
  </si>
  <si>
    <t>RN/LPN</t>
  </si>
  <si>
    <t>PT/PTA</t>
  </si>
  <si>
    <t>OT/OTA</t>
  </si>
  <si>
    <t>Productivity</t>
  </si>
  <si>
    <t>HHA</t>
  </si>
  <si>
    <t>ST</t>
  </si>
  <si>
    <t>MSW</t>
  </si>
  <si>
    <t>SN</t>
  </si>
  <si>
    <t>Total Charity Care</t>
  </si>
  <si>
    <t>Days Sales Outstanding (DSO)</t>
  </si>
  <si>
    <t>Additional KPIs (optional)</t>
  </si>
  <si>
    <t>% Contracted Labor</t>
  </si>
  <si>
    <t>Additional Costs</t>
  </si>
  <si>
    <t>% Marketing Cost/Net Revenue</t>
  </si>
  <si>
    <t>% Orientation Cost/Net Revenue</t>
  </si>
  <si>
    <t>Non-Medicare (PDGM/PPS)</t>
  </si>
  <si>
    <t>HH Non-Medicare (PDGM/PPS)</t>
  </si>
  <si>
    <t>Percentage of discipline visits performed by an RN, PT, or OT.  Example: if 60% of visits were performed by and RN, and 40% were performed by an LPN, enter 60% for the month.</t>
  </si>
  <si>
    <t>Total visit volume for all therapy disciplines (PT, OT, ST) over a one month period.</t>
  </si>
  <si>
    <t>Average number of visits performed per day by clinician (agency weighted visit structure can be applied).</t>
  </si>
  <si>
    <t>Average cost of wages + benefits + supplies + mileage per visit by discipline.</t>
  </si>
  <si>
    <t>Total Accounts Receivable (AR) divided by average daily revenue over the past three months.</t>
  </si>
  <si>
    <t>Total cost designated to listed field divided by total earned revenue for the month.</t>
  </si>
  <si>
    <t>Visit Mix - RN/LPN</t>
  </si>
  <si>
    <t>Visit Mix - PT/PTA</t>
  </si>
  <si>
    <t>Visit Mix - OT/OTA</t>
  </si>
  <si>
    <t>Average LOS (Medicare)</t>
  </si>
  <si>
    <t>Avg. LOS (Medicare)</t>
  </si>
  <si>
    <t>Avg. LOS (Non-Medicare PDGM/PPS)</t>
  </si>
  <si>
    <t>Avg. LOS (Non-Medicare FFS)</t>
  </si>
  <si>
    <t>CPV - HA Direct Cost</t>
  </si>
  <si>
    <t>CPV - SN Direct Cost</t>
  </si>
  <si>
    <t>CPV - MSW Direct Cost</t>
  </si>
  <si>
    <t>CPV - PT Direct Cost</t>
  </si>
  <si>
    <t>CPV - ST Direct Cost</t>
  </si>
  <si>
    <t>CPV - OT Direct Cost</t>
  </si>
  <si>
    <t>CPV - Overall Direct Cost</t>
  </si>
  <si>
    <t>LUPA % (Medicare)</t>
  </si>
  <si>
    <t>LUPA % (Non-Medicare PDGM/PPS)</t>
  </si>
  <si>
    <t>Outlier % (Medicare)</t>
  </si>
  <si>
    <t>Outlier % (Non-Medicare PDGM/PPS)</t>
  </si>
  <si>
    <t>CPV - Total Direct Cost</t>
  </si>
  <si>
    <t>Direct Cost per Visit (CPV)</t>
  </si>
  <si>
    <t>% Contracted Labor (SN)</t>
  </si>
  <si>
    <t>% Contracted Labor (PT)</t>
  </si>
  <si>
    <t>% Contracted Labor (OT)</t>
  </si>
  <si>
    <t>% Contracted Labor (ST)</t>
  </si>
  <si>
    <t>% Contracted Labor (HHA)</t>
  </si>
  <si>
    <t>% Contracted Labor (MSW)</t>
  </si>
  <si>
    <t>Total DSO</t>
  </si>
  <si>
    <t>DSO (Medicare)</t>
  </si>
  <si>
    <t>DSO (Non-Medicare PDGM/PPS)</t>
  </si>
  <si>
    <t>DSO (Non-Medicare FFS)</t>
  </si>
  <si>
    <t>Outstanding Docs (MCR)</t>
  </si>
  <si>
    <t>Outstanding Docs (Non-MCR PDGM/PPS)</t>
  </si>
  <si>
    <t>Outstanding Docs (Non-MCR FFS)</t>
  </si>
  <si>
    <t>% Marketing Cost / Net Revenue</t>
  </si>
  <si>
    <t>% Orientation Cost / Net Revenue</t>
  </si>
  <si>
    <t>Total number of patients on service over a one month period.</t>
  </si>
  <si>
    <t>Continuous Care</t>
  </si>
  <si>
    <t>Total days on service in the month for all Medicare patients in monthly census.  Continuous Care should be represented in hours not days.</t>
  </si>
  <si>
    <t>Respite</t>
  </si>
  <si>
    <t>Total Non-Medicare Days</t>
  </si>
  <si>
    <t>Total days on service in the month for all Non-Medicare patients in monthly census.  Continuous Care should be represented in hours not days.</t>
  </si>
  <si>
    <t>Room &amp; Board</t>
  </si>
  <si>
    <t>Chaplain</t>
  </si>
  <si>
    <t>Total earned revenue designated to Charity Care for the month.</t>
  </si>
  <si>
    <t>Bad Debt Write-offs</t>
  </si>
  <si>
    <t>Total balance written off as uncollectible in the month</t>
  </si>
  <si>
    <t>Bad Debt Write-offs (Medicare)</t>
  </si>
  <si>
    <t>Bad Debt Write-offs (Non-Medicare PDGM/PPS)</t>
  </si>
  <si>
    <t>Bad Debt Write-offs (Non-Medicare FFS)</t>
  </si>
  <si>
    <t>Average LOS (Non-Medicare)</t>
  </si>
  <si>
    <t>Medicare Days - Routine</t>
  </si>
  <si>
    <t>Medicare Days - Continuous Care</t>
  </si>
  <si>
    <t>Medicare Days - Respite</t>
  </si>
  <si>
    <t>Medicare Days - General Inpatient</t>
  </si>
  <si>
    <t>Non-Medicare Days - Routine</t>
  </si>
  <si>
    <t>Non-Medicare Days - Continuous Care</t>
  </si>
  <si>
    <t>Non-Medicare Days - Respite</t>
  </si>
  <si>
    <t>Non-Medicare Days - General Inpatient</t>
  </si>
  <si>
    <t>Non-Medicare Days - Room &amp; Board</t>
  </si>
  <si>
    <t>Productivity - RN/LPN</t>
  </si>
  <si>
    <t>Productivity - HHA</t>
  </si>
  <si>
    <t>Productivity - MSW</t>
  </si>
  <si>
    <t>Productivity - PT/PTA</t>
  </si>
  <si>
    <t>Productivity - OT/OTA</t>
  </si>
  <si>
    <t>Productivity - ST</t>
  </si>
  <si>
    <t>CPV - HHA Direct Cost</t>
  </si>
  <si>
    <t>CPV - Chaplain Direct Cost</t>
  </si>
  <si>
    <t>DSO (Non-Medicare)</t>
  </si>
  <si>
    <t>Bad Debt Write-offs (Non-Medicare)</t>
  </si>
  <si>
    <t>Outstanding Docs (Non-MCR)</t>
  </si>
  <si>
    <r>
      <t xml:space="preserve">All </t>
    </r>
    <r>
      <rPr>
        <i/>
        <sz val="10"/>
        <color theme="4"/>
        <rFont val="Palatino Linotype"/>
        <family val="1"/>
      </rPr>
      <t xml:space="preserve">blue </t>
    </r>
    <r>
      <rPr>
        <i/>
        <sz val="10"/>
        <color theme="1"/>
        <rFont val="Palatino Linotype"/>
        <family val="1"/>
      </rPr>
      <t>tabs represent tabs for which data should be entered by user</t>
    </r>
  </si>
  <si>
    <r>
      <t xml:space="preserve">All </t>
    </r>
    <r>
      <rPr>
        <i/>
        <sz val="10"/>
        <color rgb="FFFF0000"/>
        <rFont val="Palatino Linotype"/>
        <family val="1"/>
      </rPr>
      <t xml:space="preserve">red </t>
    </r>
    <r>
      <rPr>
        <i/>
        <sz val="10"/>
        <color theme="1"/>
        <rFont val="Palatino Linotype"/>
        <family val="1"/>
      </rPr>
      <t>tabs are populated with formulas that will populate once data is entered onto</t>
    </r>
    <r>
      <rPr>
        <i/>
        <sz val="10"/>
        <color theme="4" tint="-0.249977111117893"/>
        <rFont val="Palatino Linotype"/>
        <family val="1"/>
      </rPr>
      <t xml:space="preserve"> blue </t>
    </r>
    <r>
      <rPr>
        <i/>
        <sz val="10"/>
        <color theme="1"/>
        <rFont val="Palatino Linotype"/>
        <family val="1"/>
      </rPr>
      <t>tabs</t>
    </r>
  </si>
  <si>
    <r>
      <t xml:space="preserve">All </t>
    </r>
    <r>
      <rPr>
        <i/>
        <sz val="10"/>
        <color rgb="FFFF0000"/>
        <rFont val="Palatino Linotype"/>
        <family val="1"/>
      </rPr>
      <t>red</t>
    </r>
    <r>
      <rPr>
        <i/>
        <sz val="10"/>
        <color theme="1"/>
        <rFont val="Palatino Linotype"/>
        <family val="1"/>
      </rPr>
      <t xml:space="preserve"> tabs have been locked to avoid disruption of formulas, but can be unlocked with the password "NAHC" under Review &gt; Unprotect Sheet</t>
    </r>
  </si>
  <si>
    <t>MEDICAL DIRECTOR</t>
  </si>
  <si>
    <t>INS-WORKERS COMP</t>
  </si>
  <si>
    <t>WAGES-CLINICAL SUPPORT &amp; COORDINATION</t>
  </si>
  <si>
    <t xml:space="preserve">    WAGES-CLINICAL SUPPORT &amp; COORDINATION</t>
  </si>
  <si>
    <t>EXECUTIVE WAGES</t>
  </si>
  <si>
    <t>Additional training and education provided to both direct care and administrative staff due to COVID-19.</t>
  </si>
  <si>
    <t>Cumulative Revenue Change</t>
  </si>
  <si>
    <t>NURSING HOME ROOM &amp; BOARD</t>
  </si>
  <si>
    <t>Additional cost to add janitorial or security services related to COVID-19, including the disinfection of the offices or drops sites.</t>
  </si>
  <si>
    <t>Additional cost of user fees for LMS, EMR software etc.</t>
  </si>
  <si>
    <t>Additional cost associated with storage needs around PPE, Computer inventory etc.</t>
  </si>
  <si>
    <t xml:space="preserve">Additional contract labor cost for administrative staffing related to COVID-19 performing non direct care patient tasks.  This would include the following roles and responsibilities;  administrative assistants, billing, authorization, insurance verification, technology support, accounting, accounts payable, payroll and HR functions. </t>
  </si>
  <si>
    <t>Additional wages, bonuses, overtime pay for clinical coordinators and/or clinical assistants related to COVID-19, including individuals who support the clinical staff through scheduling, documentation support, OASIS review, orders review, etc.</t>
  </si>
  <si>
    <t>Additional wages, bonuses, overtime pay for marketing staffing related to COVID-19. This includes any sales and marketing, business development, or liaisons staff.</t>
  </si>
  <si>
    <t>Additional wages, bonuses, overtime pay for on call staff related to COVID-19 for Executive staff including the following Executive Director, CEO, CFO, COO, CIO, CCO.</t>
  </si>
  <si>
    <t>Case Mix (Medicare)</t>
  </si>
  <si>
    <t>Case Mix (Non-Medicare PDGM/PPS)</t>
  </si>
  <si>
    <t>Any other direct patient care service cost related to COVID-19, examples could be testing costs, screening tool costs, etc.</t>
  </si>
  <si>
    <t>Additional wages, bonuses, overtime pay for clinical manager and/or director of nursing related to COVID-19, including individuals who directly oversee the clinical team, would include supervisors, managers, directors.  This could include Nursing, Therapist or Social Worker leadership.</t>
  </si>
  <si>
    <t>Additional contract or vendor labor cost for direct patient care related to COVID-19 (PT, OT, ST, etc.).</t>
  </si>
  <si>
    <t>Additional durable medical equipment cost related to COVID-19.</t>
  </si>
  <si>
    <t>Additional medical supply cost related to COVID-19.</t>
  </si>
  <si>
    <t>Additional mileage cost related to COVID-19.</t>
  </si>
  <si>
    <t>Additional wages, bonuses, overtime pay for chaplain services related to COVID-19 (including Spiritual Counseling) including per diem staff.</t>
  </si>
  <si>
    <t>Additional wages, bonuses, overtime pay for home health aide services related to COVID-19 including per diem staff.</t>
  </si>
  <si>
    <t>Additional wages, bonuses, overtime pay for licensed practical nurse services related to COVID-19 including per diem staff.</t>
  </si>
  <si>
    <t>Additional wages, bonuses, overtime pay for registered nurse services related to COVID-19 including per diem staff.</t>
  </si>
  <si>
    <t>Additional wages, bonuses, overtime pay for medical social worker services related to COVID-19 including per diem staff.</t>
  </si>
  <si>
    <t>Additional wages, bonuses, overtime pay for occupational therapy services related to COVID-19 including per diem staff.</t>
  </si>
  <si>
    <t>Additional wages, bonuses, overtime pay for occupational therapy assistant services related to COVID-19 including per diem staff.</t>
  </si>
  <si>
    <t>Additional wages, bonuses, overtime pay for physical therapy services related to COVID-19 including per diem staff.</t>
  </si>
  <si>
    <t>Additional wages, bonuses, overtime pay for physical therapy assistant services related to COVID-19 including per diem staff.</t>
  </si>
  <si>
    <t>Additional wages, bonuses, overtime pay for speech therapy services related to COVID-19 including per diem staff.</t>
  </si>
  <si>
    <t>Additional wages, bonuses, overtime pay for nurse practitioner services related to COVID-19 including per diem staff.</t>
  </si>
  <si>
    <t>Additional wages, bonuses, overtime pay for physician services related to COVID-19.</t>
  </si>
  <si>
    <t>Additional wages, bonuses, overtime pay for administrative staff related to COVID-19.</t>
  </si>
  <si>
    <t>Additional wages, bonuses, overtime pay for medical records staffing related to COVID-19.</t>
  </si>
  <si>
    <t>Additional wages, bonuses, overtime pay for on call staff related to COVID-19.</t>
  </si>
  <si>
    <t>Additional wages, bonuses, overtime pay for volunteer service coordination related to COVID-19.</t>
  </si>
  <si>
    <t>Additional cost associated with advertising for recruitment including ads, memberships for Linkedin, Glassdoor, etc. related to COVID-19.</t>
  </si>
  <si>
    <t>Additional marketing cost associated with advertising related to COVID-19.</t>
  </si>
  <si>
    <t>Additional cost written off monthly as a result of a new intangible asset (purchased software licenses etc) related to COVID-19.</t>
  </si>
  <si>
    <t>Additional cost for auto/truck use, including leases, rentals, car services, auto insurance, etc. related to COVID-19.</t>
  </si>
  <si>
    <t>Additional cost associated with financing in support of business needs related to COVID-19.</t>
  </si>
  <si>
    <t>Additional cost for computer hardware below capitalization threshold related to COVID-19.</t>
  </si>
  <si>
    <t>Additional cost to add Skype, Zoom, Goto Meeting, Webex, Docusign etc. related to COVID-19.</t>
  </si>
  <si>
    <t>Additional cost for computer maintenance related to COVID-19.</t>
  </si>
  <si>
    <t>Additional cost to add Information Systems security i.e. VPN, addtl email encryption, etc. related to COVID-19.</t>
  </si>
  <si>
    <t>Additional cost written off monthly as a result of a new depreciable tangible asset (purchased Telehealth devices, Laptops, Monitors, Vehicles etc.) related to COVID-19.</t>
  </si>
  <si>
    <t>Additional cost for any dues and fees for related to COVID-19, such as newly joined association fees.</t>
  </si>
  <si>
    <t>Additional employee expense cost associated with 401K for Additional employees related to COVID-19.</t>
  </si>
  <si>
    <t>Additional employee expense cost associated with background checks for new employees onboarded as a result of COVID-19.</t>
  </si>
  <si>
    <t>Additional employee expense cost associated with dental insurance for Additional employees related to COVID-19.</t>
  </si>
  <si>
    <t>Additional employee expense cost associated with health insurance for Additional employees related to COVID-19.</t>
  </si>
  <si>
    <t>Additional expense for any vaccines needed for employees due to COVID-19.</t>
  </si>
  <si>
    <t>Additional employee expense cost associated with uniforms for Additional employees related to COVID-19.</t>
  </si>
  <si>
    <t>Additional workers comp cost associated with COVID-19 and/or Additional employees related to COVID-19.</t>
  </si>
  <si>
    <t>Additional laundry expense for inpatient units related to COVID-19.</t>
  </si>
  <si>
    <t>Additional housekeeping expense for inpatient units related to COVID-19.</t>
  </si>
  <si>
    <t>Additional dietary expense for inpatient units related to COVID-19.</t>
  </si>
  <si>
    <t>Additional imaging cost related to COVID-19.</t>
  </si>
  <si>
    <t>Additional lab and diagnostics cost related to COVID-19.</t>
  </si>
  <si>
    <t>Additional cost of adding copiers for office staff move to remote or field staff related to COVID-19.</t>
  </si>
  <si>
    <t>Additional license and permit costs related to COVID-19.</t>
  </si>
  <si>
    <t>Any additional miscellaneous costs related to COVID-19.</t>
  </si>
  <si>
    <t>Additional passthrough costs for room &amp; board billing related to COVID-19.</t>
  </si>
  <si>
    <t>Additional cost for office supplies related to COVID-19.</t>
  </si>
  <si>
    <t>Additional cost for patient transportation related to COVID-19.</t>
  </si>
  <si>
    <t>Additional cost for postage related to COVID-19.</t>
  </si>
  <si>
    <t>Additional cost for printing related to COVID-19.</t>
  </si>
  <si>
    <t>Additional cost for consulting related to COVID-19.</t>
  </si>
  <si>
    <t>Additional cost for legal fees such as review of COVID-19 statues for guidance related to COVID-19.</t>
  </si>
  <si>
    <t>Additional cost for professional fees related to COVID-19.</t>
  </si>
  <si>
    <t>Additional cost associated with rental of storage or other space related to COVID-19.</t>
  </si>
  <si>
    <t>Additional cost associated with repairs and maintenance of equipment related to COVID-19.</t>
  </si>
  <si>
    <t>Additional cost to add video messaging, secure messaging, and any other technology related to COVID-19.</t>
  </si>
  <si>
    <t>Additional subscription and leasing cost of devices.</t>
  </si>
  <si>
    <t>Additional cost of device and monthly plan cost, i.e. office staff moved remote provide mobile phone.</t>
  </si>
  <si>
    <t>Additional cost of adding soft phones for office staff moved remote.</t>
  </si>
  <si>
    <t>Additional utility cost associated with added rental of space related to COVID-19.</t>
  </si>
  <si>
    <t>Any capital costs related to COVID-19.</t>
  </si>
  <si>
    <r>
      <t xml:space="preserve">The </t>
    </r>
    <r>
      <rPr>
        <i/>
        <sz val="10"/>
        <color theme="9"/>
        <rFont val="Palatino Linotype"/>
        <family val="1"/>
      </rPr>
      <t>green</t>
    </r>
    <r>
      <rPr>
        <i/>
        <sz val="10"/>
        <color theme="1"/>
        <rFont val="Palatino Linotype"/>
        <family val="1"/>
      </rPr>
      <t xml:space="preserve"> tabs include roll-up figures for revenue, costs, and key performance indicators (KPIs)</t>
    </r>
  </si>
  <si>
    <t>2)  The headers for each input section will explain the recommended calculation method for the section's requested data.</t>
  </si>
  <si>
    <t xml:space="preserve">3)  Medicare refers to traditional Medicare and does not include Medicare Advantage </t>
  </si>
  <si>
    <t>4)  Non-Medicare (PDGM) refers to Medicare Advantage plans that reimburse using PPS/PDGM methodology</t>
  </si>
  <si>
    <t>6)  The subsequent HH Rev tabs (all red revenue tabs) will provide the cumulative revenue loss for each service line/payor category that is experienced during the crisis</t>
  </si>
  <si>
    <t>7)  The HH Medicare Rev, HH Non-Medicare (PDGM), and HO Medicare tabs are designed to account for the suspension of sequestration for dates of service 5/1 and after.  It is understood that the April calculation for home health Medicare/non-Medicare PDGM claims is complicated as only periods extending into May will benefit from this, but the template removes sequestration from all April revenue on these tabs in order to simplify this analysis.</t>
  </si>
  <si>
    <t>3)  The following columns will require information entered on the Cost Data Input tab in order for information to flow onto the Cost Summary tabs:</t>
  </si>
  <si>
    <t>4)  All other columns in the Cost Data Input tab can be used to track detail for all costs, but will not flow onto the Cost Summary tabs</t>
  </si>
  <si>
    <t>5)  All information in the drop-down lists in the Cost Data Input tab is pulled from the Appendix A tab.  This tab has been locked, but can be unlocked and updated by the user if additional options are desired.</t>
  </si>
  <si>
    <t>Calculated case mix for PDGM periods only (admissions and recertifications starting on or after 1/1/2020).</t>
  </si>
  <si>
    <t>LUPA periods/episodes divided by total PDGM/PPS periods/episodes.</t>
  </si>
  <si>
    <t>Outlier periods/episodes divided by total PDGM/PPS periods/episodes.</t>
  </si>
  <si>
    <t>Average volume of patients on service per day over a one month period.</t>
  </si>
  <si>
    <t>Total non-Medicare revenue for the month (fee-for-service).</t>
  </si>
  <si>
    <t>Total volume of referrals received by primary payor category over a one month period.</t>
  </si>
  <si>
    <t>Total volume of patients admitted by primary payor category over a one month period.</t>
  </si>
  <si>
    <t>Total volume of patient recertifications by primary payor category over a one month period.</t>
  </si>
  <si>
    <t>Total visit volume for all disciplines over a one month period.</t>
  </si>
  <si>
    <t>Percentage of discpline visits performed by contracted employees during the month.</t>
  </si>
  <si>
    <t>Total balance written off as uncollectible in the month.</t>
  </si>
  <si>
    <t>EMPLOYEE EXPENSE-PTO</t>
  </si>
  <si>
    <t>EMPLOYEE EXPENSE-TAXES</t>
  </si>
  <si>
    <t>Additional cost associated with payroll taxes for additional employees related to COVID-19 (Social Security, Medicare)</t>
  </si>
  <si>
    <t>Additional wages, bonuses, overtime pay or contracted fees for Medical Director related to COVID-19.</t>
  </si>
  <si>
    <t>Additional cost of adding leased fleet vehicles related to COVID-19.</t>
  </si>
  <si>
    <t>Additional cost for meals, gift cards, or other purchases made to increase employee morale during COVID-19 crisis.</t>
  </si>
  <si>
    <t>Additional cost for accounting services, ie review of COVID-19 statutes for guidance.</t>
  </si>
  <si>
    <t>Additional paid time off (PTO) cost associated with additional employees related to COVID-19 such as vacation, holiday, and sick time.</t>
  </si>
  <si>
    <t>WAGES-BEREAVEMENT</t>
  </si>
  <si>
    <t>Additional wages for bereavement staff related to COVID-19.  An example would be any temporary staff needed to perform a non-direct care task as a result of lack of staff due to COVID-19.</t>
  </si>
  <si>
    <t>1)  Enter revenue, census, and visit information onto HH Rev Data Input and HO Rev Data Input tabs. Note that in order to demonstrate revenue loss most accurately the accrual accounting method should be used to record revenue</t>
  </si>
  <si>
    <t>5)  Non-Medicare (FFS) refers to Medicare Advantage, Medicaid Managed Care, traditional Medicaid, Commercial, private pay and any other payors that reimburse fee-for-service or other non-PPS/PDGM methodology</t>
  </si>
  <si>
    <t>8) Key Performance Indicator (KPI) data will also be entered in the revenue tabs. These indicators are meant to support any revenue changes (ie census/admission decreases supporting a reduction in revenue)</t>
  </si>
  <si>
    <t>1)  Enter all cost information onto the Cost Data Input tab, this should represent all COVID related costs incurred after January 27, 2020 which is the effective date of the public health emergency</t>
  </si>
  <si>
    <t>2)  The information entered on the Cost Data Input tab should represent all costs incurred that are directly related to the COVID-19 crisis.  This does not represent the incremental change in costs due to the crisis.  For example, assume supply costs increased from monthly average of $25,000 to $60,000 in April, and $40,000 was spent on supplies related to the crisis.  The cost entered on this template would be $40,000, not the incremental increase of $35,000.</t>
  </si>
  <si>
    <r>
      <t xml:space="preserve">          </t>
    </r>
    <r>
      <rPr>
        <i/>
        <u/>
        <sz val="10"/>
        <color theme="1"/>
        <rFont val="Palatino Linotype"/>
        <family val="1"/>
      </rPr>
      <t>Service Line</t>
    </r>
    <r>
      <rPr>
        <sz val="10"/>
        <color theme="1"/>
        <rFont val="Palatino Linotype"/>
        <family val="1"/>
      </rPr>
      <t xml:space="preserve">: select whether costs was incurred by home health or hospice </t>
    </r>
  </si>
  <si>
    <r>
      <rPr>
        <i/>
        <u/>
        <sz val="10"/>
        <color theme="1"/>
        <rFont val="Palatino Linotype"/>
        <family val="1"/>
      </rPr>
      <t xml:space="preserve"> Cost Subcategory</t>
    </r>
    <r>
      <rPr>
        <sz val="10"/>
        <color theme="1"/>
        <rFont val="Palatino Linotype"/>
        <family val="1"/>
      </rPr>
      <t>: selections available in this column will be determined by the selection in the Cost Category column.  Each Cost Subcategory will be summarized into a different line item in the HH Cost Summary and HO Cost           Summary tabs.  The Cost Definitions tab provides definitions for each Cost Subcategory included in the template.</t>
    </r>
  </si>
  <si>
    <t>Total Revenue (PPS/PDGM)</t>
  </si>
  <si>
    <t>Total earned revenue for the month (PPS/PDGM reimbursement methodology only)</t>
  </si>
  <si>
    <t>Medicare (Traditional)</t>
  </si>
  <si>
    <t>Unbilled Claim Amount</t>
  </si>
  <si>
    <t>Total balance at the end of the month of unbilled claims that are held due to unsigned plan of care/verbal orders, incomplete face-to-face encounter, and any other requirements preventing claims from being billed.</t>
  </si>
  <si>
    <t>Average daily volume of patients in hospice house (in percentage format).  If agency does not have a hospice house, leave this section blank.</t>
  </si>
  <si>
    <t>Total balance at the end of the month of unbilled claims that are held due to unsigned CTIs or any other requirements preventing claims from being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</si>
</sst>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0.0%"/>
    <numFmt numFmtId="166" formatCode="0.0"/>
  </numFmts>
  <fonts count="28" x14ac:knownFonts="1">
    <font>
      <sz val="11"/>
      <color theme="1"/>
      <name val="Calibri"/>
      <family val="2"/>
      <scheme val="minor"/>
    </font>
    <font>
      <sz val="11"/>
      <color theme="1"/>
      <name val="Calibri"/>
      <family val="2"/>
      <scheme val="minor"/>
    </font>
    <font>
      <sz val="11"/>
      <color theme="0"/>
      <name val="Palatino Linotype"/>
      <family val="2"/>
    </font>
    <font>
      <sz val="8.85"/>
      <color rgb="FF000000"/>
      <name val="Arial"/>
      <family val="2"/>
    </font>
    <font>
      <sz val="10"/>
      <color theme="1"/>
      <name val="Palatino Linotype"/>
      <family val="1"/>
    </font>
    <font>
      <b/>
      <sz val="14"/>
      <color theme="1"/>
      <name val="Palatino Linotype"/>
      <family val="1"/>
    </font>
    <font>
      <b/>
      <sz val="10"/>
      <color theme="1"/>
      <name val="Palatino Linotype"/>
      <family val="1"/>
    </font>
    <font>
      <b/>
      <sz val="10"/>
      <color theme="0"/>
      <name val="Palatino Linotype"/>
      <family val="1"/>
    </font>
    <font>
      <sz val="8"/>
      <name val="Calibri"/>
      <family val="2"/>
      <scheme val="minor"/>
    </font>
    <font>
      <sz val="10"/>
      <color rgb="FF000000"/>
      <name val="Palatino Linotype"/>
      <family val="1"/>
    </font>
    <font>
      <b/>
      <sz val="10"/>
      <color rgb="FF000000"/>
      <name val="Palatino Linotype"/>
      <family val="1"/>
    </font>
    <font>
      <sz val="11"/>
      <color theme="0"/>
      <name val="Calibri"/>
      <family val="2"/>
      <scheme val="minor"/>
    </font>
    <font>
      <b/>
      <sz val="11"/>
      <color theme="1"/>
      <name val="Palatino Linotype"/>
      <family val="1"/>
    </font>
    <font>
      <sz val="11"/>
      <color theme="1"/>
      <name val="Palatino Linotype"/>
      <family val="1"/>
    </font>
    <font>
      <b/>
      <sz val="10"/>
      <name val="Palatino Linotype"/>
      <family val="1"/>
    </font>
    <font>
      <b/>
      <i/>
      <sz val="10"/>
      <color theme="1"/>
      <name val="Palatino Linotype"/>
      <family val="1"/>
    </font>
    <font>
      <b/>
      <u/>
      <sz val="11"/>
      <color theme="1"/>
      <name val="Palatino Linotype"/>
      <family val="1"/>
    </font>
    <font>
      <u/>
      <sz val="10"/>
      <color theme="1"/>
      <name val="Palatino Linotype"/>
      <family val="1"/>
    </font>
    <font>
      <i/>
      <sz val="10"/>
      <color theme="1"/>
      <name val="Palatino Linotype"/>
      <family val="1"/>
    </font>
    <font>
      <b/>
      <u/>
      <sz val="10"/>
      <color theme="1"/>
      <name val="Palatino Linotype"/>
      <family val="1"/>
    </font>
    <font>
      <i/>
      <u/>
      <sz val="10"/>
      <color theme="1"/>
      <name val="Palatino Linotype"/>
      <family val="1"/>
    </font>
    <font>
      <i/>
      <sz val="10"/>
      <color theme="4" tint="-0.249977111117893"/>
      <name val="Palatino Linotype"/>
      <family val="1"/>
    </font>
    <font>
      <i/>
      <sz val="10"/>
      <color theme="4"/>
      <name val="Palatino Linotype"/>
      <family val="1"/>
    </font>
    <font>
      <i/>
      <sz val="10"/>
      <color rgb="FFFF0000"/>
      <name val="Palatino Linotype"/>
      <family val="1"/>
    </font>
    <font>
      <sz val="10"/>
      <name val="Palatino Linotype"/>
      <family val="1"/>
    </font>
    <font>
      <sz val="10"/>
      <color theme="1"/>
      <name val="Calibri"/>
      <family val="2"/>
      <scheme val="minor"/>
    </font>
    <font>
      <i/>
      <sz val="10"/>
      <color theme="9"/>
      <name val="Palatino Linotype"/>
      <family val="1"/>
    </font>
    <font>
      <b/>
      <sz val="12"/>
      <color theme="1"/>
      <name val="Palatino Linotype"/>
      <family val="1"/>
    </font>
  </fonts>
  <fills count="9">
    <fill>
      <patternFill patternType="none"/>
    </fill>
    <fill>
      <patternFill patternType="gray125"/>
    </fill>
    <fill>
      <patternFill patternType="solid">
        <fgColor theme="4"/>
      </patternFill>
    </fill>
    <fill>
      <patternFill patternType="solid">
        <fgColor theme="5" tint="0.79998168889431442"/>
        <bgColor indexed="64"/>
      </patternFill>
    </fill>
    <fill>
      <patternFill patternType="solid">
        <fgColor theme="4"/>
        <bgColor indexed="64"/>
      </patternFill>
    </fill>
    <fill>
      <patternFill patternType="solid">
        <fgColor theme="4"/>
        <bgColor theme="4"/>
      </patternFill>
    </fill>
    <fill>
      <patternFill patternType="solid">
        <fgColor theme="0" tint="-4.9989318521683403E-2"/>
        <bgColor indexed="64"/>
      </patternFill>
    </fill>
    <fill>
      <patternFill patternType="solid">
        <fgColor theme="4" tint="0.79998168889431442"/>
        <bgColor indexed="64"/>
      </patternFill>
    </fill>
    <fill>
      <patternFill patternType="darkUp">
        <bgColor theme="0" tint="-4.9989318521683403E-2"/>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4"/>
      </left>
      <right style="thin">
        <color theme="4"/>
      </right>
      <top/>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0" borderId="0" applyAlignment="0"/>
    <xf numFmtId="0" fontId="3" fillId="0" borderId="0" applyAlignment="0"/>
    <xf numFmtId="0" fontId="11" fillId="2" borderId="0" applyNumberFormat="0" applyBorder="0" applyAlignment="0" applyProtection="0"/>
    <xf numFmtId="0" fontId="3" fillId="0" borderId="0" applyAlignment="0"/>
    <xf numFmtId="44" fontId="1" fillId="0" borderId="0" applyFont="0" applyFill="0" applyBorder="0" applyAlignment="0" applyProtection="0"/>
  </cellStyleXfs>
  <cellXfs count="206">
    <xf numFmtId="0" fontId="0" fillId="0" borderId="0" xfId="0"/>
    <xf numFmtId="0" fontId="4" fillId="0" borderId="0" xfId="0" applyFont="1" applyAlignment="1">
      <alignment vertical="top" wrapText="1"/>
    </xf>
    <xf numFmtId="49" fontId="4" fillId="0" borderId="0" xfId="0" applyNumberFormat="1" applyFont="1" applyAlignment="1">
      <alignment vertical="top" wrapText="1"/>
    </xf>
    <xf numFmtId="14" fontId="4" fillId="0" borderId="0" xfId="0" applyNumberFormat="1" applyFont="1" applyAlignment="1">
      <alignment horizontal="center" vertical="top" wrapText="1"/>
    </xf>
    <xf numFmtId="8" fontId="4" fillId="0" borderId="0" xfId="0" applyNumberFormat="1" applyFont="1" applyAlignment="1">
      <alignment horizontal="center" vertical="top" wrapText="1"/>
    </xf>
    <xf numFmtId="49" fontId="4" fillId="0" borderId="0" xfId="0" applyNumberFormat="1" applyFont="1" applyAlignment="1">
      <alignment horizontal="center" vertical="top" wrapText="1"/>
    </xf>
    <xf numFmtId="0" fontId="6" fillId="0" borderId="0" xfId="0" applyFont="1" applyAlignment="1">
      <alignment wrapText="1"/>
    </xf>
    <xf numFmtId="0" fontId="6" fillId="0" borderId="0" xfId="0" applyFont="1" applyAlignment="1">
      <alignment horizontal="center" vertical="top" wrapText="1"/>
    </xf>
    <xf numFmtId="49" fontId="4" fillId="0" borderId="1"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49" fontId="4" fillId="0" borderId="1" xfId="0" applyNumberFormat="1" applyFont="1" applyBorder="1" applyAlignment="1">
      <alignment vertical="top" wrapText="1"/>
    </xf>
    <xf numFmtId="14" fontId="4" fillId="0" borderId="1" xfId="0" applyNumberFormat="1" applyFont="1" applyBorder="1" applyAlignment="1">
      <alignment horizontal="center" vertical="top" wrapText="1"/>
    </xf>
    <xf numFmtId="0" fontId="4" fillId="0" borderId="1" xfId="0" applyFont="1" applyBorder="1" applyAlignment="1">
      <alignment vertical="top" wrapText="1"/>
    </xf>
    <xf numFmtId="0" fontId="4" fillId="0" borderId="6" xfId="0" applyFont="1" applyBorder="1" applyAlignment="1">
      <alignment vertical="top" wrapText="1"/>
    </xf>
    <xf numFmtId="4" fontId="4" fillId="0" borderId="1" xfId="0" applyNumberFormat="1" applyFont="1" applyBorder="1" applyAlignment="1">
      <alignment vertical="top" wrapText="1"/>
    </xf>
    <xf numFmtId="14" fontId="4" fillId="0" borderId="1" xfId="0" applyNumberFormat="1" applyFont="1" applyBorder="1" applyAlignment="1">
      <alignment vertical="top" wrapText="1"/>
    </xf>
    <xf numFmtId="44" fontId="4" fillId="0" borderId="0" xfId="1" applyFont="1" applyAlignment="1">
      <alignment horizontal="center" vertical="top" wrapText="1"/>
    </xf>
    <xf numFmtId="44" fontId="4" fillId="0" borderId="1" xfId="1" applyFont="1" applyBorder="1" applyAlignment="1">
      <alignment horizontal="center" vertical="top" wrapText="1"/>
    </xf>
    <xf numFmtId="44" fontId="4" fillId="0" borderId="1" xfId="1" applyFont="1" applyBorder="1" applyAlignment="1">
      <alignment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xf numFmtId="164" fontId="10" fillId="3" borderId="2" xfId="1" applyNumberFormat="1" applyFont="1" applyFill="1" applyBorder="1" applyAlignment="1">
      <alignment horizontal="center" vertical="center"/>
    </xf>
    <xf numFmtId="164" fontId="9" fillId="0" borderId="1" xfId="1" applyNumberFormat="1" applyFont="1" applyBorder="1" applyAlignment="1">
      <alignment horizontal="center" vertical="center"/>
    </xf>
    <xf numFmtId="165" fontId="9" fillId="0" borderId="0" xfId="2" applyNumberFormat="1" applyFont="1" applyAlignment="1">
      <alignment horizontal="left"/>
    </xf>
    <xf numFmtId="165" fontId="10" fillId="0" borderId="0" xfId="2" applyNumberFormat="1" applyFont="1" applyFill="1" applyAlignment="1">
      <alignment horizontal="center" vertical="center" wrapText="1"/>
    </xf>
    <xf numFmtId="0" fontId="9" fillId="0" borderId="0" xfId="4" applyFont="1" applyAlignment="1">
      <alignment horizontal="left"/>
    </xf>
    <xf numFmtId="44" fontId="10" fillId="3" borderId="1" xfId="1" applyFont="1" applyFill="1" applyBorder="1" applyAlignment="1">
      <alignment horizontal="center" vertical="center" wrapText="1"/>
    </xf>
    <xf numFmtId="0" fontId="4" fillId="0" borderId="0" xfId="0" applyFont="1" applyAlignment="1">
      <alignment horizontal="center" vertical="top" wrapText="1"/>
    </xf>
    <xf numFmtId="0" fontId="0" fillId="0" borderId="0" xfId="0"/>
    <xf numFmtId="164" fontId="9" fillId="0" borderId="1" xfId="1" applyNumberFormat="1" applyFont="1" applyBorder="1" applyAlignment="1">
      <alignment horizontal="center"/>
    </xf>
    <xf numFmtId="0" fontId="9" fillId="0" borderId="3" xfId="5" applyFont="1" applyBorder="1" applyAlignment="1">
      <alignment horizontal="center"/>
    </xf>
    <xf numFmtId="164" fontId="9" fillId="0" borderId="5" xfId="1" applyNumberFormat="1" applyFont="1" applyBorder="1" applyAlignment="1">
      <alignment horizontal="center"/>
    </xf>
    <xf numFmtId="0" fontId="9" fillId="0" borderId="1" xfId="5" applyFont="1" applyBorder="1" applyAlignment="1">
      <alignment horizontal="center"/>
    </xf>
    <xf numFmtId="164" fontId="9" fillId="0" borderId="4" xfId="1" applyNumberFormat="1" applyFont="1" applyBorder="1" applyAlignment="1">
      <alignment horizontal="center"/>
    </xf>
    <xf numFmtId="0" fontId="7" fillId="4" borderId="0" xfId="4" applyFont="1" applyFill="1" applyAlignment="1">
      <alignment horizontal="center" vertical="center"/>
    </xf>
    <xf numFmtId="0" fontId="7" fillId="4" borderId="1" xfId="4" applyFont="1" applyFill="1" applyBorder="1" applyAlignment="1">
      <alignment horizontal="center" vertical="center"/>
    </xf>
    <xf numFmtId="17" fontId="7" fillId="2" borderId="3" xfId="3" applyNumberFormat="1" applyFont="1" applyBorder="1" applyAlignment="1">
      <alignment horizontal="center"/>
    </xf>
    <xf numFmtId="44" fontId="9" fillId="0" borderId="1" xfId="1" applyFont="1" applyFill="1" applyBorder="1" applyAlignment="1">
      <alignment horizontal="center" vertical="center" wrapText="1"/>
    </xf>
    <xf numFmtId="44" fontId="9" fillId="0" borderId="10" xfId="1" applyFont="1" applyFill="1" applyBorder="1" applyAlignment="1">
      <alignment horizontal="center" vertical="center" wrapText="1"/>
    </xf>
    <xf numFmtId="0" fontId="4" fillId="0" borderId="0" xfId="0" applyFont="1" applyAlignment="1">
      <alignment horizontal="center"/>
    </xf>
    <xf numFmtId="17" fontId="7" fillId="2" borderId="1" xfId="3" applyNumberFormat="1" applyFont="1" applyBorder="1" applyAlignment="1">
      <alignment horizontal="center"/>
    </xf>
    <xf numFmtId="44" fontId="9" fillId="3" borderId="1" xfId="1" applyFont="1" applyFill="1" applyBorder="1" applyAlignment="1">
      <alignment horizontal="center" vertical="center" wrapText="1"/>
    </xf>
    <xf numFmtId="0" fontId="4" fillId="0" borderId="0" xfId="0" applyFont="1" applyBorder="1" applyAlignment="1">
      <alignment horizontal="center"/>
    </xf>
    <xf numFmtId="0" fontId="4" fillId="0" borderId="1" xfId="0" applyFont="1" applyBorder="1" applyAlignment="1">
      <alignment horizontal="center" vertical="top" wrapText="1"/>
    </xf>
    <xf numFmtId="164" fontId="9" fillId="0" borderId="0" xfId="1"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Fill="1" applyBorder="1" applyAlignment="1">
      <alignment horizontal="center"/>
    </xf>
    <xf numFmtId="0" fontId="7" fillId="5" borderId="9" xfId="0" applyFont="1" applyFill="1" applyBorder="1" applyAlignment="1">
      <alignment horizontal="center"/>
    </xf>
    <xf numFmtId="164" fontId="9" fillId="0" borderId="4" xfId="1" applyNumberFormat="1" applyFont="1" applyBorder="1" applyAlignment="1">
      <alignment horizontal="center" vertical="center"/>
    </xf>
    <xf numFmtId="0" fontId="6" fillId="6" borderId="1" xfId="0" applyFont="1" applyFill="1" applyBorder="1"/>
    <xf numFmtId="0" fontId="4" fillId="6" borderId="1" xfId="0" applyFont="1" applyFill="1" applyBorder="1" applyAlignment="1">
      <alignment horizontal="center"/>
    </xf>
    <xf numFmtId="0" fontId="4" fillId="6" borderId="1" xfId="0" applyFont="1" applyFill="1" applyBorder="1"/>
    <xf numFmtId="0" fontId="4" fillId="6" borderId="1" xfId="0" applyFont="1" applyFill="1" applyBorder="1" applyAlignment="1">
      <alignment horizontal="left"/>
    </xf>
    <xf numFmtId="0" fontId="6" fillId="6" borderId="1" xfId="0" applyFont="1" applyFill="1" applyBorder="1" applyAlignment="1">
      <alignment horizontal="center"/>
    </xf>
    <xf numFmtId="0" fontId="4" fillId="0" borderId="1" xfId="0" applyFont="1" applyBorder="1"/>
    <xf numFmtId="44" fontId="4" fillId="7" borderId="1" xfId="1" applyFont="1" applyFill="1" applyBorder="1" applyAlignment="1" applyProtection="1">
      <alignment horizontal="center"/>
    </xf>
    <xf numFmtId="44" fontId="6" fillId="3" borderId="1" xfId="1" applyFont="1" applyFill="1" applyBorder="1" applyAlignment="1" applyProtection="1">
      <alignment horizontal="center"/>
    </xf>
    <xf numFmtId="44" fontId="4" fillId="3" borderId="1" xfId="1" applyFont="1" applyFill="1" applyBorder="1" applyAlignment="1" applyProtection="1">
      <alignment horizontal="center"/>
    </xf>
    <xf numFmtId="2" fontId="4" fillId="7" borderId="1" xfId="1" applyNumberFormat="1" applyFont="1" applyFill="1" applyBorder="1" applyAlignment="1" applyProtection="1">
      <alignment horizontal="center"/>
    </xf>
    <xf numFmtId="2" fontId="6" fillId="3" borderId="1" xfId="0" applyNumberFormat="1" applyFont="1" applyFill="1" applyBorder="1" applyAlignment="1">
      <alignment horizontal="center"/>
    </xf>
    <xf numFmtId="44" fontId="4" fillId="0" borderId="1" xfId="0" applyNumberFormat="1" applyFont="1" applyBorder="1" applyAlignment="1">
      <alignment horizontal="center"/>
    </xf>
    <xf numFmtId="9" fontId="4" fillId="7" borderId="1" xfId="2" applyFont="1" applyFill="1" applyBorder="1" applyAlignment="1" applyProtection="1">
      <alignment horizontal="center"/>
    </xf>
    <xf numFmtId="165" fontId="6" fillId="3" borderId="1" xfId="2" applyNumberFormat="1" applyFont="1" applyFill="1" applyBorder="1" applyAlignment="1" applyProtection="1">
      <alignment horizontal="center"/>
    </xf>
    <xf numFmtId="166" fontId="4" fillId="7" borderId="1" xfId="0" applyNumberFormat="1" applyFont="1" applyFill="1" applyBorder="1" applyAlignment="1">
      <alignment horizontal="center"/>
    </xf>
    <xf numFmtId="166" fontId="6" fillId="3" borderId="1" xfId="2" applyNumberFormat="1" applyFont="1" applyFill="1" applyBorder="1" applyAlignment="1" applyProtection="1">
      <alignment horizontal="center"/>
    </xf>
    <xf numFmtId="1" fontId="4" fillId="7" borderId="1" xfId="0" applyNumberFormat="1" applyFont="1" applyFill="1" applyBorder="1" applyAlignment="1">
      <alignment horizontal="center"/>
    </xf>
    <xf numFmtId="0" fontId="6" fillId="6" borderId="8" xfId="0" applyFont="1" applyFill="1" applyBorder="1" applyAlignment="1">
      <alignment wrapText="1"/>
    </xf>
    <xf numFmtId="44" fontId="4" fillId="7" borderId="1" xfId="1" applyFont="1" applyFill="1" applyBorder="1" applyAlignment="1" applyProtection="1">
      <alignment horizontal="center"/>
      <protection locked="0"/>
    </xf>
    <xf numFmtId="0" fontId="6" fillId="6" borderId="6" xfId="0" applyFont="1" applyFill="1" applyBorder="1" applyAlignment="1">
      <alignment wrapText="1"/>
    </xf>
    <xf numFmtId="2" fontId="4" fillId="7" borderId="1" xfId="0" applyNumberFormat="1" applyFont="1" applyFill="1" applyBorder="1" applyAlignment="1" applyProtection="1">
      <alignment horizontal="center"/>
      <protection locked="0"/>
    </xf>
    <xf numFmtId="165" fontId="4" fillId="7" borderId="1" xfId="2" applyNumberFormat="1" applyFont="1" applyFill="1" applyBorder="1" applyAlignment="1" applyProtection="1">
      <alignment horizontal="center"/>
      <protection locked="0"/>
    </xf>
    <xf numFmtId="166" fontId="4" fillId="7" borderId="1" xfId="0" applyNumberFormat="1" applyFont="1" applyFill="1" applyBorder="1" applyAlignment="1" applyProtection="1">
      <alignment horizontal="center"/>
      <protection locked="0"/>
    </xf>
    <xf numFmtId="1" fontId="4" fillId="7" borderId="1" xfId="0" applyNumberFormat="1" applyFont="1" applyFill="1" applyBorder="1" applyAlignment="1" applyProtection="1">
      <alignment horizontal="center"/>
      <protection locked="0"/>
    </xf>
    <xf numFmtId="166" fontId="4" fillId="0" borderId="0" xfId="0" applyNumberFormat="1" applyFont="1" applyAlignment="1">
      <alignment horizontal="center"/>
    </xf>
    <xf numFmtId="166" fontId="4" fillId="0" borderId="0" xfId="0" applyNumberFormat="1" applyFont="1"/>
    <xf numFmtId="44" fontId="4" fillId="7" borderId="1" xfId="0" applyNumberFormat="1" applyFont="1" applyFill="1" applyBorder="1" applyAlignment="1">
      <alignment horizontal="center"/>
    </xf>
    <xf numFmtId="166" fontId="6" fillId="3" borderId="1" xfId="1" applyNumberFormat="1" applyFont="1" applyFill="1" applyBorder="1" applyAlignment="1" applyProtection="1">
      <alignment horizontal="center"/>
    </xf>
    <xf numFmtId="0" fontId="6" fillId="7" borderId="13" xfId="0" applyFont="1" applyFill="1" applyBorder="1" applyAlignment="1">
      <alignment horizontal="center" vertical="center"/>
    </xf>
    <xf numFmtId="0" fontId="4" fillId="0" borderId="17" xfId="0" applyFont="1" applyBorder="1"/>
    <xf numFmtId="0" fontId="4" fillId="0" borderId="15" xfId="0" applyFont="1" applyBorder="1"/>
    <xf numFmtId="0" fontId="4" fillId="0" borderId="18" xfId="0" applyFont="1" applyBorder="1"/>
    <xf numFmtId="0" fontId="14" fillId="7" borderId="13" xfId="0" applyFont="1" applyFill="1" applyBorder="1" applyAlignment="1">
      <alignment horizontal="center" vertical="center"/>
    </xf>
    <xf numFmtId="17" fontId="14" fillId="7" borderId="23" xfId="6" applyNumberFormat="1" applyFont="1" applyFill="1" applyBorder="1" applyAlignment="1">
      <alignment horizontal="center"/>
    </xf>
    <xf numFmtId="17" fontId="14" fillId="7" borderId="24" xfId="6" applyNumberFormat="1" applyFont="1" applyFill="1" applyBorder="1" applyAlignment="1">
      <alignment horizontal="center"/>
    </xf>
    <xf numFmtId="17" fontId="14" fillId="7" borderId="25" xfId="6" applyNumberFormat="1" applyFont="1" applyFill="1" applyBorder="1" applyAlignment="1">
      <alignment horizontal="center"/>
    </xf>
    <xf numFmtId="44" fontId="6" fillId="6" borderId="3" xfId="0" applyNumberFormat="1" applyFont="1" applyFill="1" applyBorder="1" applyAlignment="1">
      <alignment horizontal="center"/>
    </xf>
    <xf numFmtId="0" fontId="15" fillId="0" borderId="15" xfId="0" applyFont="1" applyBorder="1"/>
    <xf numFmtId="44" fontId="6" fillId="0" borderId="1" xfId="0" applyNumberFormat="1" applyFont="1" applyBorder="1" applyAlignment="1">
      <alignment horizontal="center"/>
    </xf>
    <xf numFmtId="0" fontId="6" fillId="6" borderId="17" xfId="0" applyFont="1" applyFill="1" applyBorder="1"/>
    <xf numFmtId="0" fontId="14" fillId="7" borderId="2" xfId="0" applyFont="1" applyFill="1" applyBorder="1" applyAlignment="1">
      <alignment horizontal="center" vertical="center"/>
    </xf>
    <xf numFmtId="0" fontId="6" fillId="0" borderId="1" xfId="0" applyFont="1" applyFill="1" applyBorder="1"/>
    <xf numFmtId="0" fontId="4" fillId="0" borderId="1" xfId="0" applyFont="1" applyFill="1" applyBorder="1" applyAlignment="1">
      <alignment horizontal="left"/>
    </xf>
    <xf numFmtId="0" fontId="4" fillId="0" borderId="0" xfId="0" applyFont="1" applyFill="1"/>
    <xf numFmtId="0" fontId="16" fillId="0" borderId="1" xfId="0" applyFont="1" applyFill="1" applyBorder="1"/>
    <xf numFmtId="0" fontId="17" fillId="0" borderId="1" xfId="0" applyFont="1" applyFill="1" applyBorder="1" applyAlignment="1">
      <alignment horizontal="center"/>
    </xf>
    <xf numFmtId="0" fontId="17" fillId="0" borderId="0" xfId="0" applyFont="1" applyFill="1"/>
    <xf numFmtId="0" fontId="7" fillId="4" borderId="1" xfId="4" applyFont="1" applyFill="1" applyBorder="1" applyAlignment="1">
      <alignment horizontal="left" vertical="center" wrapText="1"/>
    </xf>
    <xf numFmtId="164" fontId="9" fillId="0" borderId="0" xfId="1" applyNumberFormat="1" applyFont="1" applyBorder="1" applyAlignment="1">
      <alignment horizontal="left" vertical="center" wrapText="1"/>
    </xf>
    <xf numFmtId="0" fontId="0" fillId="0" borderId="0" xfId="0" applyAlignment="1">
      <alignment horizontal="left" wrapText="1"/>
    </xf>
    <xf numFmtId="0" fontId="4" fillId="0" borderId="1" xfId="0" applyFont="1" applyBorder="1" applyAlignment="1">
      <alignment horizontal="left" wrapText="1"/>
    </xf>
    <xf numFmtId="0" fontId="4" fillId="0" borderId="1" xfId="0" applyFont="1" applyFill="1" applyBorder="1" applyAlignment="1">
      <alignment horizontal="left" wrapText="1"/>
    </xf>
    <xf numFmtId="0" fontId="0" fillId="0" borderId="0" xfId="0" applyFill="1"/>
    <xf numFmtId="164" fontId="9" fillId="0" borderId="1" xfId="1" applyNumberFormat="1" applyFont="1" applyFill="1" applyBorder="1" applyAlignment="1">
      <alignment horizontal="center"/>
    </xf>
    <xf numFmtId="0" fontId="5" fillId="0" borderId="0" xfId="0" applyFont="1" applyAlignment="1">
      <alignment wrapText="1"/>
    </xf>
    <xf numFmtId="0" fontId="15" fillId="0" borderId="0" xfId="0" applyFont="1" applyAlignment="1">
      <alignment wrapText="1"/>
    </xf>
    <xf numFmtId="0" fontId="18" fillId="0" borderId="0" xfId="0" applyFont="1" applyAlignment="1">
      <alignment wrapText="1"/>
    </xf>
    <xf numFmtId="0" fontId="4" fillId="0" borderId="0" xfId="0" applyFont="1" applyAlignment="1">
      <alignment wrapText="1"/>
    </xf>
    <xf numFmtId="0" fontId="19" fillId="0" borderId="0" xfId="0" applyFont="1" applyAlignment="1">
      <alignment wrapText="1"/>
    </xf>
    <xf numFmtId="0" fontId="12" fillId="0" borderId="1" xfId="0" applyFont="1" applyFill="1" applyBorder="1"/>
    <xf numFmtId="0" fontId="0" fillId="0" borderId="1" xfId="0" applyFill="1" applyBorder="1" applyAlignment="1">
      <alignment horizontal="left" wrapText="1"/>
    </xf>
    <xf numFmtId="0" fontId="16" fillId="0" borderId="6" xfId="0" applyFont="1" applyFill="1" applyBorder="1" applyAlignment="1">
      <alignment wrapText="1"/>
    </xf>
    <xf numFmtId="166" fontId="4" fillId="0" borderId="3" xfId="0" applyNumberFormat="1" applyFont="1" applyBorder="1" applyAlignment="1">
      <alignment horizontal="center"/>
    </xf>
    <xf numFmtId="1" fontId="4" fillId="0" borderId="3" xfId="0" applyNumberFormat="1" applyFont="1" applyBorder="1" applyAlignment="1">
      <alignment horizontal="center"/>
    </xf>
    <xf numFmtId="1" fontId="4" fillId="0" borderId="1" xfId="0" applyNumberFormat="1" applyFont="1" applyBorder="1" applyAlignment="1">
      <alignment horizontal="center"/>
    </xf>
    <xf numFmtId="0" fontId="4" fillId="0" borderId="15" xfId="8" applyNumberFormat="1" applyFont="1" applyFill="1" applyBorder="1"/>
    <xf numFmtId="165" fontId="4" fillId="0" borderId="1" xfId="2" applyNumberFormat="1" applyFont="1" applyBorder="1" applyAlignment="1">
      <alignment horizontal="center"/>
    </xf>
    <xf numFmtId="166" fontId="4" fillId="0" borderId="1" xfId="0" applyNumberFormat="1" applyFont="1" applyBorder="1" applyAlignment="1">
      <alignment horizontal="center"/>
    </xf>
    <xf numFmtId="0" fontId="4" fillId="0" borderId="28" xfId="0" applyFont="1" applyBorder="1"/>
    <xf numFmtId="0" fontId="4" fillId="0" borderId="29" xfId="0" applyFont="1" applyBorder="1"/>
    <xf numFmtId="0" fontId="4" fillId="0" borderId="10" xfId="0" applyFont="1" applyBorder="1"/>
    <xf numFmtId="44" fontId="4" fillId="0" borderId="1" xfId="1" applyFont="1" applyBorder="1" applyAlignment="1">
      <alignment horizontal="center"/>
    </xf>
    <xf numFmtId="44" fontId="4" fillId="0" borderId="10" xfId="0" applyNumberFormat="1" applyFont="1" applyBorder="1" applyAlignment="1">
      <alignment horizontal="center"/>
    </xf>
    <xf numFmtId="0" fontId="4" fillId="0" borderId="15" xfId="0" applyFont="1" applyBorder="1" applyAlignment="1">
      <alignment horizontal="left" vertical="center"/>
    </xf>
    <xf numFmtId="44" fontId="4" fillId="0" borderId="20" xfId="1" applyFont="1" applyBorder="1" applyAlignment="1">
      <alignment horizontal="center"/>
    </xf>
    <xf numFmtId="0" fontId="9" fillId="0" borderId="1" xfId="1" applyNumberFormat="1" applyFont="1" applyBorder="1" applyAlignment="1">
      <alignment horizontal="left" wrapText="1"/>
    </xf>
    <xf numFmtId="164" fontId="9" fillId="0" borderId="1" xfId="1" applyNumberFormat="1" applyFont="1" applyBorder="1" applyAlignment="1">
      <alignment horizontal="center" wrapText="1"/>
    </xf>
    <xf numFmtId="2" fontId="4" fillId="0" borderId="1" xfId="2" applyNumberFormat="1" applyFont="1" applyBorder="1" applyAlignment="1">
      <alignment horizontal="center"/>
    </xf>
    <xf numFmtId="166" fontId="4" fillId="0" borderId="1" xfId="2" applyNumberFormat="1" applyFont="1" applyBorder="1" applyAlignment="1">
      <alignment horizontal="center"/>
    </xf>
    <xf numFmtId="44" fontId="4" fillId="3" borderId="1" xfId="0" applyNumberFormat="1" applyFont="1" applyFill="1" applyBorder="1" applyAlignment="1">
      <alignment horizontal="center"/>
    </xf>
    <xf numFmtId="0" fontId="25" fillId="6" borderId="1" xfId="0" applyFont="1" applyFill="1" applyBorder="1" applyAlignment="1">
      <alignment horizontal="center"/>
    </xf>
    <xf numFmtId="0" fontId="25" fillId="0" borderId="0" xfId="0" applyFont="1"/>
    <xf numFmtId="0" fontId="25" fillId="6" borderId="4" xfId="0" applyFont="1" applyFill="1" applyBorder="1" applyAlignment="1">
      <alignment horizontal="center"/>
    </xf>
    <xf numFmtId="0" fontId="25" fillId="6" borderId="3" xfId="0" applyFont="1" applyFill="1" applyBorder="1" applyAlignment="1">
      <alignment horizontal="center"/>
    </xf>
    <xf numFmtId="0" fontId="14" fillId="7" borderId="0" xfId="0" applyFont="1" applyFill="1" applyAlignment="1">
      <alignment horizontal="center" wrapText="1"/>
    </xf>
    <xf numFmtId="49" fontId="14" fillId="7" borderId="1" xfId="0" applyNumberFormat="1" applyFont="1" applyFill="1" applyBorder="1" applyAlignment="1">
      <alignment horizontal="center" wrapText="1"/>
    </xf>
    <xf numFmtId="44" fontId="14" fillId="7" borderId="1" xfId="1" applyFont="1" applyFill="1" applyBorder="1" applyAlignment="1">
      <alignment horizontal="center" wrapText="1"/>
    </xf>
    <xf numFmtId="14" fontId="14" fillId="7" borderId="1" xfId="0" applyNumberFormat="1" applyFont="1" applyFill="1" applyBorder="1" applyAlignment="1">
      <alignment horizontal="center" wrapText="1"/>
    </xf>
    <xf numFmtId="0" fontId="14" fillId="7" borderId="1" xfId="0" applyFont="1" applyFill="1" applyBorder="1" applyAlignment="1">
      <alignment horizontal="center" wrapText="1"/>
    </xf>
    <xf numFmtId="0" fontId="14" fillId="7" borderId="6" xfId="0" applyFont="1" applyFill="1" applyBorder="1" applyAlignment="1">
      <alignment horizontal="center" wrapText="1"/>
    </xf>
    <xf numFmtId="0" fontId="6" fillId="0" borderId="0" xfId="0" applyFont="1" applyBorder="1" applyAlignment="1">
      <alignment horizontal="center" vertical="top" wrapText="1"/>
    </xf>
    <xf numFmtId="0" fontId="4" fillId="0" borderId="4" xfId="0" applyFont="1" applyBorder="1" applyAlignment="1">
      <alignment horizontal="center" vertical="top" wrapText="1"/>
    </xf>
    <xf numFmtId="49" fontId="4" fillId="0" borderId="30"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4" fontId="4" fillId="0" borderId="4" xfId="0" applyNumberFormat="1" applyFont="1" applyBorder="1" applyAlignment="1">
      <alignment horizontal="center" vertical="top" wrapText="1"/>
    </xf>
    <xf numFmtId="49" fontId="4" fillId="0" borderId="4" xfId="0" applyNumberFormat="1" applyFont="1" applyBorder="1" applyAlignment="1">
      <alignment vertical="top" wrapText="1"/>
    </xf>
    <xf numFmtId="44" fontId="4" fillId="0" borderId="4" xfId="1" applyFont="1" applyBorder="1" applyAlignment="1">
      <alignment horizontal="center" vertical="top" wrapText="1"/>
    </xf>
    <xf numFmtId="14" fontId="4" fillId="0" borderId="4" xfId="0" applyNumberFormat="1" applyFont="1" applyBorder="1" applyAlignment="1">
      <alignment horizontal="center" vertical="top" wrapText="1"/>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27" xfId="0" applyFont="1" applyBorder="1" applyAlignment="1">
      <alignment horizontal="center" vertical="top" wrapText="1"/>
    </xf>
    <xf numFmtId="0" fontId="5" fillId="6" borderId="0" xfId="0" applyFont="1" applyFill="1" applyAlignment="1">
      <alignment horizontal="left" vertical="center"/>
    </xf>
    <xf numFmtId="0" fontId="4" fillId="6" borderId="0" xfId="0" applyFont="1" applyFill="1" applyAlignment="1">
      <alignment vertical="top" wrapText="1"/>
    </xf>
    <xf numFmtId="49" fontId="4" fillId="6" borderId="0" xfId="0" applyNumberFormat="1" applyFont="1" applyFill="1" applyAlignment="1">
      <alignment vertical="top" wrapText="1"/>
    </xf>
    <xf numFmtId="14" fontId="4" fillId="6" borderId="0" xfId="0" applyNumberFormat="1" applyFont="1" applyFill="1" applyAlignment="1">
      <alignment horizontal="center" vertical="top" wrapText="1"/>
    </xf>
    <xf numFmtId="8" fontId="4" fillId="6" borderId="0" xfId="0" applyNumberFormat="1" applyFont="1" applyFill="1" applyAlignment="1">
      <alignment horizontal="center" vertical="top" wrapText="1"/>
    </xf>
    <xf numFmtId="44" fontId="4" fillId="6" borderId="0" xfId="1" applyFont="1" applyFill="1" applyAlignment="1">
      <alignment horizontal="center" vertical="top" wrapText="1"/>
    </xf>
    <xf numFmtId="0" fontId="4" fillId="6" borderId="0" xfId="0" applyFont="1" applyFill="1" applyAlignment="1">
      <alignment horizontal="center" vertical="top" wrapText="1"/>
    </xf>
    <xf numFmtId="0" fontId="4" fillId="6" borderId="0" xfId="0" applyFont="1" applyFill="1" applyAlignment="1">
      <alignment vertical="top"/>
    </xf>
    <xf numFmtId="0" fontId="13" fillId="6" borderId="0" xfId="0" applyFont="1" applyFill="1" applyAlignment="1">
      <alignment vertical="top"/>
    </xf>
    <xf numFmtId="0" fontId="9" fillId="0" borderId="1" xfId="1"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0" applyFont="1" applyBorder="1" applyAlignment="1">
      <alignment vertical="center" wrapText="1"/>
    </xf>
    <xf numFmtId="0" fontId="24" fillId="0" borderId="1" xfId="0" applyFont="1" applyBorder="1" applyAlignment="1">
      <alignment vertical="center" wrapText="1"/>
    </xf>
    <xf numFmtId="0" fontId="9" fillId="0" borderId="1" xfId="0" applyFont="1" applyFill="1" applyBorder="1" applyAlignment="1">
      <alignment horizontal="left" vertical="center" wrapText="1"/>
    </xf>
    <xf numFmtId="0" fontId="6" fillId="6" borderId="18" xfId="0" applyFont="1" applyFill="1" applyBorder="1"/>
    <xf numFmtId="44" fontId="6" fillId="6" borderId="5" xfId="0" applyNumberFormat="1" applyFont="1" applyFill="1" applyBorder="1" applyAlignment="1">
      <alignment horizontal="center"/>
    </xf>
    <xf numFmtId="44" fontId="6" fillId="6" borderId="21" xfId="0" applyNumberFormat="1" applyFont="1" applyFill="1" applyBorder="1" applyAlignment="1">
      <alignment horizontal="center"/>
    </xf>
    <xf numFmtId="44" fontId="6" fillId="0" borderId="20" xfId="0" applyNumberFormat="1" applyFont="1" applyBorder="1" applyAlignment="1">
      <alignment horizontal="center"/>
    </xf>
    <xf numFmtId="44" fontId="6" fillId="6" borderId="22" xfId="0" applyNumberFormat="1" applyFont="1" applyFill="1" applyBorder="1" applyAlignment="1">
      <alignment horizontal="center"/>
    </xf>
    <xf numFmtId="0" fontId="6" fillId="7" borderId="2" xfId="0" applyFont="1" applyFill="1" applyBorder="1" applyAlignment="1">
      <alignment horizontal="center" vertical="center"/>
    </xf>
    <xf numFmtId="2" fontId="4" fillId="0" borderId="20" xfId="2" applyNumberFormat="1" applyFont="1" applyBorder="1" applyAlignment="1">
      <alignment horizontal="center"/>
    </xf>
    <xf numFmtId="165" fontId="4" fillId="0" borderId="20" xfId="2" applyNumberFormat="1" applyFont="1" applyBorder="1" applyAlignment="1">
      <alignment horizontal="center"/>
    </xf>
    <xf numFmtId="166" fontId="4" fillId="0" borderId="21" xfId="0" applyNumberFormat="1" applyFont="1" applyBorder="1" applyAlignment="1">
      <alignment horizontal="center"/>
    </xf>
    <xf numFmtId="1" fontId="4" fillId="0" borderId="21" xfId="0" applyNumberFormat="1" applyFont="1" applyBorder="1" applyAlignment="1">
      <alignment horizontal="center"/>
    </xf>
    <xf numFmtId="1" fontId="4" fillId="0" borderId="20" xfId="0" applyNumberFormat="1" applyFont="1" applyBorder="1" applyAlignment="1">
      <alignment horizontal="center"/>
    </xf>
    <xf numFmtId="166" fontId="4" fillId="0" borderId="20" xfId="0" applyNumberFormat="1" applyFont="1" applyBorder="1" applyAlignment="1">
      <alignment horizontal="center"/>
    </xf>
    <xf numFmtId="166" fontId="4" fillId="0" borderId="20" xfId="2" applyNumberFormat="1" applyFont="1" applyBorder="1" applyAlignment="1">
      <alignment horizontal="center"/>
    </xf>
    <xf numFmtId="44" fontId="4" fillId="0" borderId="20" xfId="0" applyNumberFormat="1" applyFont="1" applyBorder="1" applyAlignment="1">
      <alignment horizontal="center"/>
    </xf>
    <xf numFmtId="165" fontId="4" fillId="0" borderId="5" xfId="2" applyNumberFormat="1" applyFont="1" applyBorder="1" applyAlignment="1">
      <alignment horizontal="center"/>
    </xf>
    <xf numFmtId="165" fontId="4" fillId="0" borderId="22" xfId="2" applyNumberFormat="1" applyFont="1" applyBorder="1" applyAlignment="1">
      <alignment horizontal="center"/>
    </xf>
    <xf numFmtId="17" fontId="14" fillId="7" borderId="31" xfId="6" applyNumberFormat="1" applyFont="1" applyFill="1" applyBorder="1" applyAlignment="1">
      <alignment horizontal="center"/>
    </xf>
    <xf numFmtId="44" fontId="6" fillId="8" borderId="3" xfId="0" applyNumberFormat="1" applyFont="1" applyFill="1" applyBorder="1" applyAlignment="1">
      <alignment horizontal="center"/>
    </xf>
    <xf numFmtId="44" fontId="6" fillId="8" borderId="1" xfId="0" applyNumberFormat="1" applyFont="1" applyFill="1" applyBorder="1" applyAlignment="1">
      <alignment horizontal="center"/>
    </xf>
    <xf numFmtId="0" fontId="4" fillId="8" borderId="1" xfId="0" applyFont="1" applyFill="1" applyBorder="1" applyAlignment="1">
      <alignment horizontal="center"/>
    </xf>
    <xf numFmtId="0" fontId="6" fillId="8" borderId="1" xfId="0" applyFont="1" applyFill="1" applyBorder="1" applyAlignment="1">
      <alignment horizontal="center"/>
    </xf>
    <xf numFmtId="44" fontId="4" fillId="8" borderId="1" xfId="1" applyFont="1" applyFill="1" applyBorder="1" applyAlignment="1" applyProtection="1">
      <alignment horizontal="center"/>
    </xf>
    <xf numFmtId="0" fontId="4" fillId="8" borderId="1" xfId="0" applyFont="1" applyFill="1" applyBorder="1"/>
    <xf numFmtId="0" fontId="6" fillId="0" borderId="2" xfId="0" applyFont="1" applyBorder="1" applyAlignment="1" applyProtection="1">
      <alignment horizontal="center"/>
      <protection locked="0"/>
    </xf>
    <xf numFmtId="0" fontId="4" fillId="0" borderId="26"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0" xfId="0" applyFont="1" applyProtection="1">
      <protection locked="0"/>
    </xf>
    <xf numFmtId="0" fontId="6" fillId="7" borderId="14" xfId="0" applyFont="1" applyFill="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11"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Alignment="1">
      <alignment horizontal="left" wrapText="1" indent="3"/>
    </xf>
    <xf numFmtId="0" fontId="27" fillId="6" borderId="1" xfId="0" applyFont="1" applyFill="1" applyBorder="1"/>
    <xf numFmtId="0" fontId="6" fillId="6" borderId="1" xfId="0" applyFont="1" applyFill="1" applyBorder="1" applyAlignment="1">
      <alignment horizontal="left" wrapText="1"/>
    </xf>
    <xf numFmtId="0" fontId="6" fillId="0" borderId="1" xfId="0" applyFont="1" applyFill="1" applyBorder="1" applyAlignment="1">
      <alignment horizontal="left" wrapText="1"/>
    </xf>
    <xf numFmtId="0" fontId="6" fillId="6" borderId="7" xfId="0" applyFont="1" applyFill="1" applyBorder="1" applyAlignment="1">
      <alignment horizontal="left" wrapText="1"/>
    </xf>
    <xf numFmtId="0" fontId="6" fillId="6" borderId="12" xfId="0" applyFont="1" applyFill="1" applyBorder="1" applyAlignment="1">
      <alignment horizontal="left" wrapText="1"/>
    </xf>
  </cellXfs>
  <cellStyles count="9">
    <cellStyle name="Accent1" xfId="3" builtinId="29"/>
    <cellStyle name="Accent1 2" xfId="6" xr:uid="{12120EE5-2215-4E59-99AC-B5BB433BF9F1}"/>
    <cellStyle name="Currency" xfId="1" builtinId="4"/>
    <cellStyle name="Currency 2" xfId="8" xr:uid="{019813B0-9611-4204-A9CF-77C222587081}"/>
    <cellStyle name="Normal" xfId="0" builtinId="0"/>
    <cellStyle name="Normal 10 2" xfId="4" xr:uid="{CE7394E9-0BF1-490E-A79F-374CDC384CEB}"/>
    <cellStyle name="Normal 1226" xfId="7" xr:uid="{8435BAE0-608A-41C4-8D57-F7BB20D60084}"/>
    <cellStyle name="Normal 2 456" xfId="5" xr:uid="{B46959D7-907B-4C20-9693-D4207369FE34}"/>
    <cellStyle name="Percent" xfId="2" builtinId="5"/>
  </cellStyles>
  <dxfs count="42">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border outline="0">
        <top style="thin">
          <color theme="4"/>
        </top>
      </border>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b/>
        <i val="0"/>
        <strike val="0"/>
        <condense val="0"/>
        <extend val="0"/>
        <outline val="0"/>
        <shadow val="0"/>
        <u val="none"/>
        <vertAlign val="baseline"/>
        <sz val="10"/>
        <color theme="0"/>
        <name val="Palatino Linotype"/>
        <family val="1"/>
        <scheme val="none"/>
      </font>
      <fill>
        <patternFill patternType="solid">
          <fgColor theme="4"/>
          <bgColor theme="4"/>
        </patternFill>
      </fill>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Palatino Linotype"/>
        <family val="1"/>
        <scheme val="none"/>
      </font>
      <numFmt numFmtId="164" formatCode="_(&quot;$&quot;* #,##0_);_(&quot;$&quot;* \(#,##0\);_(&quot;$&quot;*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rgb="FF00000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Palatino Linotype"/>
        <family val="1"/>
        <scheme val="none"/>
      </font>
      <numFmt numFmtId="164" formatCode="_(&quot;$&quot;* #,##0_);_(&quot;$&quot;* \(#,##0\);_(&quot;$&quot;*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10"/>
        <color rgb="FF00000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Palatino Linotype"/>
        <family val="1"/>
        <scheme val="none"/>
      </font>
      <numFmt numFmtId="164" formatCode="_(&quot;$&quot;* #,##0_);_(&quot;$&quot;* \(#,##0\);_(&quot;$&quot;*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rgb="FF000000"/>
        <name val="Palatino Linotype"/>
        <family val="1"/>
        <scheme val="none"/>
      </font>
      <alignment horizontal="center" vertical="center" textRotation="0" wrapText="0" indent="0" justifyLastLine="0" shrinkToFit="0" readingOrder="0"/>
    </dxf>
    <dxf>
      <font>
        <strike val="0"/>
        <outline val="0"/>
        <shadow val="0"/>
        <u val="none"/>
        <vertAlign val="baseline"/>
        <sz val="10"/>
        <name val="Palatino Linotype"/>
        <family val="1"/>
        <scheme val="none"/>
      </font>
      <alignment horizontal="center"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strike val="0"/>
        <outline val="0"/>
        <shadow val="0"/>
        <u val="none"/>
        <vertAlign val="baseline"/>
        <sz val="10"/>
        <name val="Palatino Linotype"/>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theme="1"/>
        <name val="Palatino Linotype"/>
        <family val="1"/>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numFmt numFmtId="30" formatCode="@"/>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dxf>
    <dxf>
      <border outline="0">
        <right style="thin">
          <color indexed="64"/>
        </right>
      </border>
    </dxf>
    <dxf>
      <font>
        <b val="0"/>
        <i val="0"/>
        <strike val="0"/>
        <condense val="0"/>
        <extend val="0"/>
        <outline val="0"/>
        <shadow val="0"/>
        <u val="none"/>
        <vertAlign val="baseline"/>
        <sz val="10"/>
        <color theme="1"/>
        <name val="Palatino Linotype"/>
        <family val="1"/>
        <scheme val="none"/>
      </font>
      <alignment horizontal="center" vertical="top" textRotation="0" wrapText="1" indent="0" justifyLastLine="0" shrinkToFit="0" readingOrder="0"/>
    </dxf>
    <dxf>
      <font>
        <strike val="0"/>
        <outline val="0"/>
        <shadow val="0"/>
        <u val="none"/>
        <vertAlign val="baseline"/>
        <sz val="10"/>
        <color auto="1"/>
        <name val="Palatino Linotype"/>
        <family val="1"/>
        <scheme val="none"/>
      </font>
      <fill>
        <patternFill>
          <fgColor indexed="64"/>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83820</xdr:rowOff>
    </xdr:from>
    <xdr:to>
      <xdr:col>0</xdr:col>
      <xdr:colOff>1729740</xdr:colOff>
      <xdr:row>4</xdr:row>
      <xdr:rowOff>68580</xdr:rowOff>
    </xdr:to>
    <xdr:pic>
      <xdr:nvPicPr>
        <xdr:cNvPr id="3" name="Picture 2" descr="National Association for Home Care &amp; Hospice">
          <a:extLst>
            <a:ext uri="{FF2B5EF4-FFF2-40B4-BE49-F238E27FC236}">
              <a16:creationId xmlns:a16="http://schemas.microsoft.com/office/drawing/2014/main" id="{E9701D53-B8DF-4538-9238-4BB82EA8F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83820"/>
          <a:ext cx="1661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1805940</xdr:colOff>
      <xdr:row>0</xdr:row>
      <xdr:rowOff>7620</xdr:rowOff>
    </xdr:from>
    <xdr:to>
      <xdr:col>0</xdr:col>
      <xdr:colOff>2901315</xdr:colOff>
      <xdr:row>4</xdr:row>
      <xdr:rowOff>73660</xdr:rowOff>
    </xdr:to>
    <xdr:pic>
      <xdr:nvPicPr>
        <xdr:cNvPr id="5" name="Picture 4" descr="Image result for hhfma">
          <a:extLst>
            <a:ext uri="{FF2B5EF4-FFF2-40B4-BE49-F238E27FC236}">
              <a16:creationId xmlns:a16="http://schemas.microsoft.com/office/drawing/2014/main" id="{BA775C9B-21C4-40BD-B908-E3E91628A93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5940" y="7620"/>
          <a:ext cx="1095375" cy="828040"/>
        </a:xfrm>
        <a:prstGeom prst="rect">
          <a:avLst/>
        </a:prstGeom>
        <a:noFill/>
        <a:ln>
          <a:noFill/>
        </a:ln>
      </xdr:spPr>
    </xdr:pic>
    <xdr:clientData/>
  </xdr:twoCellAnchor>
  <xdr:twoCellAnchor editAs="oneCell">
    <xdr:from>
      <xdr:col>0</xdr:col>
      <xdr:colOff>68580</xdr:colOff>
      <xdr:row>0</xdr:row>
      <xdr:rowOff>83820</xdr:rowOff>
    </xdr:from>
    <xdr:to>
      <xdr:col>0</xdr:col>
      <xdr:colOff>1729740</xdr:colOff>
      <xdr:row>4</xdr:row>
      <xdr:rowOff>68580</xdr:rowOff>
    </xdr:to>
    <xdr:pic>
      <xdr:nvPicPr>
        <xdr:cNvPr id="4" name="Picture 3" descr="National Association for Home Care &amp; Hospice">
          <a:extLst>
            <a:ext uri="{FF2B5EF4-FFF2-40B4-BE49-F238E27FC236}">
              <a16:creationId xmlns:a16="http://schemas.microsoft.com/office/drawing/2014/main" id="{4C1AC8FD-C8C4-417F-AB68-A077B40EC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83820"/>
          <a:ext cx="1661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1805940</xdr:colOff>
      <xdr:row>0</xdr:row>
      <xdr:rowOff>7620</xdr:rowOff>
    </xdr:from>
    <xdr:to>
      <xdr:col>0</xdr:col>
      <xdr:colOff>2901315</xdr:colOff>
      <xdr:row>4</xdr:row>
      <xdr:rowOff>73660</xdr:rowOff>
    </xdr:to>
    <xdr:pic>
      <xdr:nvPicPr>
        <xdr:cNvPr id="6" name="Picture 5" descr="Image result for hhfma">
          <a:extLst>
            <a:ext uri="{FF2B5EF4-FFF2-40B4-BE49-F238E27FC236}">
              <a16:creationId xmlns:a16="http://schemas.microsoft.com/office/drawing/2014/main" id="{2BABD065-38B0-4284-A3AE-EE8D907A8DE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5940" y="7620"/>
          <a:ext cx="1095375" cy="8280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118533</xdr:colOff>
      <xdr:row>0</xdr:row>
      <xdr:rowOff>76201</xdr:rowOff>
    </xdr:from>
    <xdr:to>
      <xdr:col>0</xdr:col>
      <xdr:colOff>1779693</xdr:colOff>
      <xdr:row>4</xdr:row>
      <xdr:rowOff>44028</xdr:rowOff>
    </xdr:to>
    <xdr:pic>
      <xdr:nvPicPr>
        <xdr:cNvPr id="2" name="Picture 1" descr="National Association for Home Care &amp; Hospice">
          <a:extLst>
            <a:ext uri="{FF2B5EF4-FFF2-40B4-BE49-F238E27FC236}">
              <a16:creationId xmlns:a16="http://schemas.microsoft.com/office/drawing/2014/main" id="{47AD0D2D-C139-428A-9A55-D7721F561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33" y="76201"/>
          <a:ext cx="1661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1845733</xdr:colOff>
      <xdr:row>0</xdr:row>
      <xdr:rowOff>16934</xdr:rowOff>
    </xdr:from>
    <xdr:to>
      <xdr:col>1</xdr:col>
      <xdr:colOff>612775</xdr:colOff>
      <xdr:row>4</xdr:row>
      <xdr:rowOff>66041</xdr:rowOff>
    </xdr:to>
    <xdr:pic>
      <xdr:nvPicPr>
        <xdr:cNvPr id="3" name="Picture 2" descr="Image result for hhfma">
          <a:extLst>
            <a:ext uri="{FF2B5EF4-FFF2-40B4-BE49-F238E27FC236}">
              <a16:creationId xmlns:a16="http://schemas.microsoft.com/office/drawing/2014/main" id="{A1454792-DE2F-43C8-9783-296A5758C21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5733" y="16934"/>
          <a:ext cx="1095375" cy="8280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93134</xdr:colOff>
      <xdr:row>0</xdr:row>
      <xdr:rowOff>93133</xdr:rowOff>
    </xdr:from>
    <xdr:to>
      <xdr:col>0</xdr:col>
      <xdr:colOff>1754294</xdr:colOff>
      <xdr:row>4</xdr:row>
      <xdr:rowOff>60960</xdr:rowOff>
    </xdr:to>
    <xdr:pic>
      <xdr:nvPicPr>
        <xdr:cNvPr id="2" name="Picture 1" descr="National Association for Home Care &amp; Hospice">
          <a:extLst>
            <a:ext uri="{FF2B5EF4-FFF2-40B4-BE49-F238E27FC236}">
              <a16:creationId xmlns:a16="http://schemas.microsoft.com/office/drawing/2014/main" id="{AC18E956-6B22-483A-9929-FF0238116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34" y="93133"/>
          <a:ext cx="1661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1794934</xdr:colOff>
      <xdr:row>0</xdr:row>
      <xdr:rowOff>33866</xdr:rowOff>
    </xdr:from>
    <xdr:to>
      <xdr:col>1</xdr:col>
      <xdr:colOff>790576</xdr:colOff>
      <xdr:row>4</xdr:row>
      <xdr:rowOff>82973</xdr:rowOff>
    </xdr:to>
    <xdr:pic>
      <xdr:nvPicPr>
        <xdr:cNvPr id="3" name="Picture 2" descr="Image result for hhfma">
          <a:extLst>
            <a:ext uri="{FF2B5EF4-FFF2-40B4-BE49-F238E27FC236}">
              <a16:creationId xmlns:a16="http://schemas.microsoft.com/office/drawing/2014/main" id="{2BA04BE6-52EF-492B-AF47-0B0D7F1D1D4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4934" y="33866"/>
          <a:ext cx="1095375" cy="82804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65314</xdr:colOff>
      <xdr:row>0</xdr:row>
      <xdr:rowOff>130629</xdr:rowOff>
    </xdr:from>
    <xdr:to>
      <xdr:col>1</xdr:col>
      <xdr:colOff>899160</xdr:colOff>
      <xdr:row>4</xdr:row>
      <xdr:rowOff>93618</xdr:rowOff>
    </xdr:to>
    <xdr:pic>
      <xdr:nvPicPr>
        <xdr:cNvPr id="2" name="Picture 1" descr="National Association for Home Care &amp; Hospice">
          <a:extLst>
            <a:ext uri="{FF2B5EF4-FFF2-40B4-BE49-F238E27FC236}">
              <a16:creationId xmlns:a16="http://schemas.microsoft.com/office/drawing/2014/main" id="{E1ED9FA1-3E13-4E4D-B8F4-2D00848AE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 y="130629"/>
          <a:ext cx="1656806" cy="724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925285</xdr:colOff>
      <xdr:row>0</xdr:row>
      <xdr:rowOff>43543</xdr:rowOff>
    </xdr:from>
    <xdr:to>
      <xdr:col>2</xdr:col>
      <xdr:colOff>910317</xdr:colOff>
      <xdr:row>4</xdr:row>
      <xdr:rowOff>87812</xdr:rowOff>
    </xdr:to>
    <xdr:pic>
      <xdr:nvPicPr>
        <xdr:cNvPr id="3" name="Picture 2" descr="Image result for hhfma">
          <a:extLst>
            <a:ext uri="{FF2B5EF4-FFF2-40B4-BE49-F238E27FC236}">
              <a16:creationId xmlns:a16="http://schemas.microsoft.com/office/drawing/2014/main" id="{4BD14F99-4280-43CF-B342-CCA521E98D6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8245" y="43543"/>
          <a:ext cx="1089932" cy="8062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y-nas-003\TAXRETURNS\St.%20Joes'%20Foundation\Journal%20Entries\FY%202003%20Reclasses\SJF%20PLEDGES%20March%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Finance\Accounting\FinancialReports\9.%20September%202003\CH%20II\CHII%20Cash%20Flow%20Statement%2009_30_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bblebeach\data\Finance\Accounting\FinancialReports\9.%20September%202003\Partner%20Meeting\CH%20II%20%20Downstream%20Sept%202003%20Financial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i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9%20Tax%20Reporting%20Templates\19OTH_334_STMARYPROFBUILD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FINRPTNG\Accounting%20Guidance\Disaster%20Relief\Disaster%20Relief%20Options%20and%20Information%203%2027%2020.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2250%20Consolidated%20Cash%20Flow%20200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3"/>
      <sheetName val="RE Jan 2003"/>
      <sheetName val="AFN Jan  2003"/>
      <sheetName val="RECON"/>
      <sheetName val="ADJUSTMENTS"/>
      <sheetName val="Pledge Schedule"/>
      <sheetName val="Drop down"/>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Cash Flows"/>
      <sheetName val="Statement of Cash Flows-GAAP"/>
      <sheetName val="Worksheet"/>
      <sheetName val="Sheet1"/>
      <sheetName val="bshts"/>
      <sheetName val="GP's"/>
      <sheetName val="Variables"/>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 II BS"/>
      <sheetName val="CH II BS-Schedule"/>
      <sheetName val="CH II I.S."/>
      <sheetName val="CH II Cash Flows"/>
      <sheetName val="CH II Ptr Cap"/>
      <sheetName val="PCI BS"/>
      <sheetName val="PCI I.S"/>
      <sheetName val="PCI Cash Flows"/>
      <sheetName val="PCI Ptr Cap"/>
      <sheetName val="HH BS"/>
      <sheetName val="HH I.S."/>
      <sheetName val="HH Cash Flows"/>
      <sheetName val="HH Ptr Cap"/>
      <sheetName val="LH BS"/>
      <sheetName val="LH I.S."/>
      <sheetName val="LH Cash Flows"/>
      <sheetName val="LH Ptr Cap"/>
      <sheetName val="TC BS "/>
      <sheetName val="TC I.S."/>
      <sheetName val="TC Cash Flows"/>
      <sheetName val="TC Ptr Cap"/>
      <sheetName val="NFS BS"/>
      <sheetName val="NFS I.S."/>
      <sheetName val="NFS Cash Flows"/>
      <sheetName val="NFS Ptr Cap"/>
      <sheetName val="RM BS"/>
      <sheetName val="RM I.S."/>
      <sheetName val="RM Cash Flows"/>
      <sheetName val="RM Ptr 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mments"/>
      <sheetName val="990"/>
      <sheetName val="990GA"/>
      <sheetName val="RJE"/>
      <sheetName val="990_FY18"/>
      <sheetName val="MAP"/>
      <sheetName val="MAPGA"/>
      <sheetName val="GRIDBS"/>
      <sheetName val="GRIDIS"/>
      <sheetName val="FY19 Group Co #"/>
      <sheetName val="Acct"/>
      <sheetName val="MAP18"/>
      <sheetName val="Part III"/>
      <sheetName val="Part IV"/>
      <sheetName val="Part V"/>
      <sheetName val="Part VI"/>
      <sheetName val="Part VII"/>
      <sheetName val="Part XI and XII"/>
      <sheetName val="Sch A"/>
      <sheetName val="Sch A Prt IV"/>
      <sheetName val="Sch A Prt V-VI"/>
      <sheetName val="Sch B"/>
      <sheetName val="Sch B Summary"/>
      <sheetName val="Sch C"/>
      <sheetName val="Sch D"/>
      <sheetName val="Sch F"/>
      <sheetName val="Sch G"/>
      <sheetName val="Event1"/>
      <sheetName val="Event2"/>
      <sheetName val="Event3"/>
      <sheetName val="Sch H"/>
      <sheetName val="Sch H (Prt V.B)"/>
      <sheetName val="Sch I"/>
      <sheetName val="Sch J"/>
      <sheetName val="Sch J2"/>
      <sheetName val="Sch J.A"/>
      <sheetName val="Sch K"/>
      <sheetName val="Sch K - Bldg &amp; Leased"/>
      <sheetName val="Sch L"/>
      <sheetName val="Sch M"/>
      <sheetName val="Sch N"/>
      <sheetName val="Sch R"/>
      <sheetName val="Sch O"/>
      <sheetName val="1 Lobbying Expenses"/>
      <sheetName val="2 UBI Summary"/>
      <sheetName val="UBI Act 1"/>
      <sheetName val="UBI Act 2"/>
      <sheetName val="UBI Act 3"/>
      <sheetName val="UBI Act 4"/>
      <sheetName val="3 Other Related income"/>
      <sheetName val="4 Other Revenue"/>
      <sheetName val="5 Other Purchased Services"/>
      <sheetName val="6 Other Expenses"/>
      <sheetName val="7 Rental Income"/>
      <sheetName val="Drop down"/>
      <sheetName val="@@XLCUBEDDEF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D3" t="str">
            <v>Cash</v>
          </cell>
        </row>
        <row r="4">
          <cell r="D4" t="str">
            <v>Noncash</v>
          </cell>
        </row>
        <row r="7">
          <cell r="D7" t="str">
            <v>Federated Campaigns</v>
          </cell>
        </row>
        <row r="8">
          <cell r="D8" t="str">
            <v>Membership Dues</v>
          </cell>
        </row>
        <row r="9">
          <cell r="D9" t="str">
            <v>Government</v>
          </cell>
        </row>
        <row r="10">
          <cell r="D10" t="str">
            <v>Fundraising</v>
          </cell>
        </row>
        <row r="11">
          <cell r="D11" t="str">
            <v>Related Organization</v>
          </cell>
        </row>
        <row r="12">
          <cell r="D12" t="str">
            <v>All Other Organization</v>
          </cell>
        </row>
        <row r="15">
          <cell r="D15" t="str">
            <v>Payroll Deduction</v>
          </cell>
        </row>
        <row r="16">
          <cell r="D16" t="str">
            <v>Other</v>
          </cell>
        </row>
      </sheetData>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onDrillInfo"/>
      <sheetName val="COVID19 Activities"/>
      <sheetName val="COVID-19 Expense Tracking"/>
      <sheetName val="Program Summaries"/>
    </sheetNames>
    <sheetDataSet>
      <sheetData sheetId="0" refreshError="1"/>
      <sheetData sheetId="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0-04 YTD"/>
      <sheetName val="T2"/>
      <sheetName val="Tickmarks"/>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E3A441-9C39-4C29-B2ED-9F3600E324A8}" name="Table5" displayName="Table5" ref="A8:N108" totalsRowShown="0" headerRowDxfId="41" dataDxfId="40" tableBorderDxfId="39">
  <tableColumns count="14">
    <tableColumn id="1" xr3:uid="{3E617EB3-BAAB-413B-93AD-36AC989F6A5D}" name="#" dataDxfId="38"/>
    <tableColumn id="4" xr3:uid="{2E17EADB-74F9-4373-B14F-3E24A8E45722}" name="Service Line" dataDxfId="37"/>
    <tableColumn id="2" xr3:uid="{5DE75CD7-BAE2-4B0D-9729-AD777C429684}" name="Cost Category" dataDxfId="36"/>
    <tableColumn id="3" xr3:uid="{F1FAFEDA-1AF0-40F2-AB1F-20D1B31CC128}" name="Cost Subcategory" dataDxfId="35"/>
    <tableColumn id="7" xr3:uid="{CC643D3A-D83C-4B72-AB42-E036BD0510B8}" name="GL if known" dataDxfId="34"/>
    <tableColumn id="8" xr3:uid="{B02BFB87-B24A-4206-A8BC-C2F0FFC9B1AF}" name="Vendor/Payer Name" dataDxfId="33"/>
    <tableColumn id="9" xr3:uid="{2D7F597F-FF65-400E-A164-3FCC473EC272}" name="Expense" dataDxfId="32" dataCellStyle="Currency"/>
    <tableColumn id="10" xr3:uid="{BD1EC582-36BD-436C-912C-DF2E4ADEAEB6}" name="Description of Expense" dataDxfId="31"/>
    <tableColumn id="14" xr3:uid="{5C1417B6-4944-4D7B-8787-BF5D57F73A2E}" name="Month" dataDxfId="30"/>
    <tableColumn id="11" xr3:uid="{604957B5-B198-4156-BACD-161602643956}" name="Date" dataDxfId="29"/>
    <tableColumn id="12" xr3:uid="{49B7132B-339E-4592-AD4C-7985C131247F}" name="Reason/Purpose Activity Performed " dataDxfId="28"/>
    <tableColumn id="13" xr3:uid="{E51EF27B-92E7-452A-9FA8-6F1341DD2F69}" name="Notes/Comments/Questions" dataDxfId="27"/>
    <tableColumn id="5" xr3:uid="{63C6E611-C640-4583-9159-2054189DD04E}" name="Covered by Another Funding Source?" dataDxfId="26"/>
    <tableColumn id="6" xr3:uid="{490DEEAE-B71D-4285-8C72-D8AEF90ABA67}" name="If Covered, What Source?" dataDxfId="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6FAF50-7921-42DB-A2A1-75E170A4BF2B}" name="Table1" displayName="Table1" ref="A1:A5" totalsRowShown="0" headerRowDxfId="24" dataDxfId="23">
  <autoFilter ref="A1:A5" xr:uid="{8679EA24-E883-4749-9538-1BD10926E4E5}"/>
  <tableColumns count="1">
    <tableColumn id="1" xr3:uid="{8399DF91-25B3-4D04-AF05-7C9D99A3BE19}" name="Categories" dataDxfId="2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75C9D5-0EA9-49AE-A0C4-65AFDA3B12EC}" name="Table2" displayName="Table2" ref="C1:C18" totalsRowShown="0" headerRowDxfId="21" dataDxfId="20" tableBorderDxfId="19" dataCellStyle="Currency">
  <autoFilter ref="C1:C18" xr:uid="{52169FB1-9D11-4326-9CEF-91C6EC0F25A2}"/>
  <tableColumns count="1">
    <tableColumn id="1" xr3:uid="{B7CAAA4E-F09B-48B7-9A70-5FE46ACF109F}" name="Direct Costs" dataDxfId="18" dataCellStyle="Currency"/>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BE4129-CC4B-44C4-A30F-2F5D4CFBEF73}" name="Table3" displayName="Table3" ref="E1:E12" totalsRowShown="0" headerRowDxfId="17" dataDxfId="16" tableBorderDxfId="15" dataCellStyle="Currency">
  <autoFilter ref="E1:E12" xr:uid="{3A53AFA1-0C1D-4E9F-B29F-3D122CCE96D3}"/>
  <tableColumns count="1">
    <tableColumn id="1" xr3:uid="{066FAF4C-9AA9-4FAD-A7C0-67D9AD370730}" name="Indirect Costs" dataDxfId="14" dataCellStyle="Currency"/>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23CF3A-3F8F-479E-858F-66D617043135}" name="Table4" displayName="Table4" ref="G1:G51" totalsRowShown="0" headerRowDxfId="13" dataDxfId="12" tableBorderDxfId="11" dataCellStyle="Currency">
  <autoFilter ref="G1:G51" xr:uid="{C8A56BB1-9DCB-4E15-9674-155FB3094C0E}"/>
  <tableColumns count="1">
    <tableColumn id="1" xr3:uid="{4523A66D-46ED-426D-9D94-66AD61AF9571}" name="OperatingCosts" dataDxfId="10" dataCellStyle="Currency"/>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BFBC5F-547C-4426-869C-610F1FDDCA42}" name="Table6" displayName="Table6" ref="A8:A10" totalsRowShown="0" headerRowDxfId="9" dataDxfId="8">
  <autoFilter ref="A8:A10" xr:uid="{5E10678E-7FFC-4F2E-A608-91B891D19721}"/>
  <tableColumns count="1">
    <tableColumn id="1" xr3:uid="{BC82379B-A034-48E8-9EF9-488614A7DBA3}" name="Service Line" dataDxfId="7"/>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5221B8-58AF-4652-9A3B-AEF16CDC848F}" name="Table7" displayName="Table7" ref="I1:I2" totalsRowShown="0" headerRowDxfId="6" dataDxfId="5" tableBorderDxfId="4">
  <autoFilter ref="I1:I2" xr:uid="{1329342B-B59B-4D20-B2D4-C0649ED632C5}"/>
  <tableColumns count="1">
    <tableColumn id="1" xr3:uid="{E2F45610-E8CE-4915-947C-604D9C803603}" name="CapitalCosts" dataDxfId="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FDF01D-E1F3-4FF6-B9A6-70CC4B754B2A}" name="Table8" displayName="Table8" ref="A17:A29" totalsRowShown="0" headerRowDxfId="2" dataDxfId="1">
  <autoFilter ref="A17:A29" xr:uid="{F0670DD3-CA71-4C23-B79B-5D94E40A84BE}"/>
  <tableColumns count="1">
    <tableColumn id="1" xr3:uid="{CDA01B8F-BB91-4577-B57B-F13F58DCF7FB}" name="Month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7501-02E9-40D8-808F-86C8C6DCC556}">
  <sheetPr>
    <tabColor theme="0"/>
  </sheetPr>
  <dimension ref="A6:D35"/>
  <sheetViews>
    <sheetView tabSelected="1" topLeftCell="A10" workbookViewId="0">
      <selection activeCell="A9" sqref="A9"/>
    </sheetView>
  </sheetViews>
  <sheetFormatPr defaultColWidth="9.140625" defaultRowHeight="15" x14ac:dyDescent="0.3"/>
  <cols>
    <col min="1" max="1" width="201.85546875" style="108" customWidth="1"/>
    <col min="2" max="16384" width="9.140625" style="22"/>
  </cols>
  <sheetData>
    <row r="6" spans="1:4" ht="21" x14ac:dyDescent="0.4">
      <c r="A6" s="105" t="s">
        <v>219</v>
      </c>
    </row>
    <row r="8" spans="1:4" x14ac:dyDescent="0.3">
      <c r="A8" s="106" t="s">
        <v>218</v>
      </c>
    </row>
    <row r="9" spans="1:4" x14ac:dyDescent="0.3">
      <c r="A9" s="106"/>
    </row>
    <row r="10" spans="1:4" x14ac:dyDescent="0.3">
      <c r="A10" s="107" t="s">
        <v>320</v>
      </c>
    </row>
    <row r="11" spans="1:4" x14ac:dyDescent="0.3">
      <c r="A11" s="107" t="s">
        <v>321</v>
      </c>
    </row>
    <row r="12" spans="1:4" x14ac:dyDescent="0.3">
      <c r="A12" s="107" t="s">
        <v>322</v>
      </c>
    </row>
    <row r="13" spans="1:4" x14ac:dyDescent="0.3">
      <c r="A13" s="107" t="s">
        <v>404</v>
      </c>
    </row>
    <row r="14" spans="1:4" ht="15.75" x14ac:dyDescent="0.3">
      <c r="D14" s="30"/>
    </row>
    <row r="15" spans="1:4" x14ac:dyDescent="0.3">
      <c r="A15" s="109" t="s">
        <v>175</v>
      </c>
    </row>
    <row r="16" spans="1:4" ht="30" x14ac:dyDescent="0.3">
      <c r="A16" s="108" t="s">
        <v>434</v>
      </c>
    </row>
    <row r="17" spans="1:1" x14ac:dyDescent="0.3">
      <c r="A17" s="108" t="s">
        <v>405</v>
      </c>
    </row>
    <row r="18" spans="1:1" x14ac:dyDescent="0.3">
      <c r="A18" s="108" t="s">
        <v>406</v>
      </c>
    </row>
    <row r="19" spans="1:1" x14ac:dyDescent="0.3">
      <c r="A19" s="108" t="s">
        <v>407</v>
      </c>
    </row>
    <row r="20" spans="1:1" x14ac:dyDescent="0.3">
      <c r="A20" s="108" t="s">
        <v>435</v>
      </c>
    </row>
    <row r="21" spans="1:1" x14ac:dyDescent="0.3">
      <c r="A21" s="108" t="s">
        <v>408</v>
      </c>
    </row>
    <row r="22" spans="1:1" ht="30" x14ac:dyDescent="0.3">
      <c r="A22" s="108" t="s">
        <v>409</v>
      </c>
    </row>
    <row r="23" spans="1:1" x14ac:dyDescent="0.3">
      <c r="A23" s="108" t="s">
        <v>436</v>
      </c>
    </row>
    <row r="25" spans="1:1" x14ac:dyDescent="0.3">
      <c r="A25" s="109" t="s">
        <v>217</v>
      </c>
    </row>
    <row r="26" spans="1:1" x14ac:dyDescent="0.3">
      <c r="A26" s="108" t="s">
        <v>437</v>
      </c>
    </row>
    <row r="27" spans="1:1" ht="45" x14ac:dyDescent="0.3">
      <c r="A27" s="108" t="s">
        <v>438</v>
      </c>
    </row>
    <row r="28" spans="1:1" x14ac:dyDescent="0.3">
      <c r="A28" s="108" t="s">
        <v>410</v>
      </c>
    </row>
    <row r="29" spans="1:1" x14ac:dyDescent="0.3">
      <c r="A29" s="108" t="s">
        <v>439</v>
      </c>
    </row>
    <row r="30" spans="1:1" x14ac:dyDescent="0.3">
      <c r="A30" s="108" t="s">
        <v>220</v>
      </c>
    </row>
    <row r="31" spans="1:1" ht="30" x14ac:dyDescent="0.3">
      <c r="A31" s="200" t="s">
        <v>440</v>
      </c>
    </row>
    <row r="32" spans="1:1" x14ac:dyDescent="0.3">
      <c r="A32" s="108" t="s">
        <v>222</v>
      </c>
    </row>
    <row r="33" spans="1:1" x14ac:dyDescent="0.3">
      <c r="A33" s="108" t="s">
        <v>221</v>
      </c>
    </row>
    <row r="34" spans="1:1" x14ac:dyDescent="0.3">
      <c r="A34" s="108" t="s">
        <v>411</v>
      </c>
    </row>
    <row r="35" spans="1:1" x14ac:dyDescent="0.3">
      <c r="A35" s="108" t="s">
        <v>412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821C9-C9BC-487B-8120-F04FC8D7E1F4}">
  <sheetPr>
    <tabColor theme="5" tint="0.79998168889431442"/>
  </sheetPr>
  <dimension ref="A1:N18"/>
  <sheetViews>
    <sheetView workbookViewId="0">
      <pane xSplit="1" ySplit="2" topLeftCell="B3" activePane="bottomRight" state="frozen"/>
      <selection pane="topRight" activeCell="B1" sqref="B1"/>
      <selection pane="bottomLeft" activeCell="A3" sqref="A3"/>
      <selection pane="bottomRight" activeCell="B4" sqref="B4"/>
    </sheetView>
  </sheetViews>
  <sheetFormatPr defaultColWidth="9.140625" defaultRowHeight="15" x14ac:dyDescent="0.3"/>
  <cols>
    <col min="1" max="1" width="27.28515625" style="22" customWidth="1"/>
    <col min="2" max="3" width="22" style="41" bestFit="1" customWidth="1"/>
    <col min="4" max="14" width="23.5703125" style="22" customWidth="1"/>
    <col min="15" max="16384" width="9.140625" style="22"/>
  </cols>
  <sheetData>
    <row r="1" spans="1:14" x14ac:dyDescent="0.3">
      <c r="A1" s="51" t="s">
        <v>172</v>
      </c>
      <c r="B1" s="52"/>
      <c r="C1" s="52"/>
      <c r="D1" s="53"/>
      <c r="E1" s="53"/>
      <c r="F1" s="53"/>
      <c r="G1" s="53"/>
      <c r="H1" s="53"/>
      <c r="I1" s="53"/>
      <c r="J1" s="53"/>
      <c r="K1" s="53"/>
      <c r="L1" s="53"/>
      <c r="M1" s="53"/>
      <c r="N1" s="53"/>
    </row>
    <row r="2" spans="1:14" x14ac:dyDescent="0.3">
      <c r="A2" s="51" t="s">
        <v>173</v>
      </c>
      <c r="B2" s="52"/>
      <c r="C2" s="52"/>
      <c r="D2" s="53"/>
      <c r="E2" s="53"/>
      <c r="F2" s="53"/>
      <c r="G2" s="53" t="s">
        <v>174</v>
      </c>
      <c r="H2" s="53"/>
      <c r="I2" s="53"/>
      <c r="J2" s="53"/>
      <c r="K2" s="53"/>
      <c r="L2" s="53"/>
      <c r="M2" s="53"/>
      <c r="N2" s="53"/>
    </row>
    <row r="3" spans="1:14" x14ac:dyDescent="0.3">
      <c r="A3" s="51" t="s">
        <v>175</v>
      </c>
      <c r="B3" s="55" t="s">
        <v>133</v>
      </c>
      <c r="C3" s="55" t="s">
        <v>134</v>
      </c>
      <c r="D3" s="55" t="s">
        <v>176</v>
      </c>
      <c r="E3" s="55" t="s">
        <v>135</v>
      </c>
      <c r="F3" s="55" t="s">
        <v>136</v>
      </c>
      <c r="G3" s="55" t="s">
        <v>137</v>
      </c>
      <c r="H3" s="55" t="s">
        <v>138</v>
      </c>
      <c r="I3" s="55" t="s">
        <v>139</v>
      </c>
      <c r="J3" s="55" t="s">
        <v>140</v>
      </c>
      <c r="K3" s="55" t="s">
        <v>141</v>
      </c>
      <c r="L3" s="55" t="s">
        <v>142</v>
      </c>
      <c r="M3" s="55" t="s">
        <v>143</v>
      </c>
      <c r="N3" s="55" t="s">
        <v>144</v>
      </c>
    </row>
    <row r="4" spans="1:14" x14ac:dyDescent="0.3">
      <c r="A4" s="56" t="s">
        <v>161</v>
      </c>
      <c r="B4" s="77">
        <f>'HO Rev Data Input'!B10</f>
        <v>0</v>
      </c>
      <c r="C4" s="77">
        <f>'HO Rev Data Input'!C10</f>
        <v>0</v>
      </c>
      <c r="D4" s="58">
        <f>IF(SUM(B4:C4)=0,0,AVERAGE(B4:C4))</f>
        <v>0</v>
      </c>
      <c r="E4" s="77">
        <f>'HO Rev Data Input'!D10</f>
        <v>0</v>
      </c>
      <c r="F4" s="77">
        <f>'HO Rev Data Input'!E10</f>
        <v>0</v>
      </c>
      <c r="G4" s="188"/>
      <c r="H4" s="188"/>
      <c r="I4" s="188"/>
      <c r="J4" s="188"/>
      <c r="K4" s="188"/>
      <c r="L4" s="188"/>
      <c r="M4" s="188"/>
      <c r="N4" s="188"/>
    </row>
    <row r="5" spans="1:14" x14ac:dyDescent="0.3">
      <c r="A5" s="56" t="s">
        <v>189</v>
      </c>
      <c r="B5" s="130">
        <f>B4*(100/98)</f>
        <v>0</v>
      </c>
      <c r="C5" s="130">
        <f>C4*(100/98)</f>
        <v>0</v>
      </c>
      <c r="D5" s="58">
        <f>IF(SUM(B5:C5)=0,0,AVERAGE(B5:C5))</f>
        <v>0</v>
      </c>
      <c r="E5" s="130">
        <f t="shared" ref="E5:F5" si="0">E4*(100/98)</f>
        <v>0</v>
      </c>
      <c r="F5" s="130">
        <f t="shared" si="0"/>
        <v>0</v>
      </c>
      <c r="G5" s="77">
        <f>'HO Rev Data Input'!F10</f>
        <v>0</v>
      </c>
      <c r="H5" s="77">
        <f>'HO Rev Data Input'!G10</f>
        <v>0</v>
      </c>
      <c r="I5" s="77">
        <f>'HO Rev Data Input'!H10</f>
        <v>0</v>
      </c>
      <c r="J5" s="77">
        <f>'HO Rev Data Input'!I10</f>
        <v>0</v>
      </c>
      <c r="K5" s="77">
        <f>'HO Rev Data Input'!J10</f>
        <v>0</v>
      </c>
      <c r="L5" s="77">
        <f>'HO Rev Data Input'!K10</f>
        <v>0</v>
      </c>
      <c r="M5" s="77">
        <f>'HO Rev Data Input'!L10</f>
        <v>0</v>
      </c>
      <c r="N5" s="77">
        <f>'HO Rev Data Input'!M10</f>
        <v>0</v>
      </c>
    </row>
    <row r="6" spans="1:14" x14ac:dyDescent="0.3">
      <c r="A6" s="56" t="s">
        <v>329</v>
      </c>
      <c r="B6" s="185"/>
      <c r="C6" s="185"/>
      <c r="D6" s="186"/>
      <c r="E6" s="59">
        <f>E5-D5</f>
        <v>0</v>
      </c>
      <c r="F6" s="59">
        <f>(F5-$D$5)+E6</f>
        <v>0</v>
      </c>
      <c r="G6" s="59">
        <f t="shared" ref="G6:N6" si="1">(G5-$D$5)+F6</f>
        <v>0</v>
      </c>
      <c r="H6" s="59">
        <f t="shared" si="1"/>
        <v>0</v>
      </c>
      <c r="I6" s="59">
        <f t="shared" si="1"/>
        <v>0</v>
      </c>
      <c r="J6" s="59">
        <f t="shared" si="1"/>
        <v>0</v>
      </c>
      <c r="K6" s="59">
        <f t="shared" si="1"/>
        <v>0</v>
      </c>
      <c r="L6" s="59">
        <f t="shared" si="1"/>
        <v>0</v>
      </c>
      <c r="M6" s="59">
        <f t="shared" si="1"/>
        <v>0</v>
      </c>
      <c r="N6" s="59">
        <f t="shared" si="1"/>
        <v>0</v>
      </c>
    </row>
    <row r="7" spans="1:14" x14ac:dyDescent="0.3">
      <c r="A7" s="56"/>
      <c r="B7" s="47"/>
      <c r="C7" s="47"/>
      <c r="D7" s="47"/>
      <c r="E7" s="47"/>
      <c r="F7" s="47"/>
      <c r="G7" s="47"/>
      <c r="H7" s="47"/>
      <c r="I7" s="47"/>
      <c r="J7" s="47"/>
      <c r="K7" s="47"/>
      <c r="L7" s="47"/>
      <c r="M7" s="47"/>
      <c r="N7" s="47"/>
    </row>
    <row r="8" spans="1:14" x14ac:dyDescent="0.3">
      <c r="A8" s="51" t="s">
        <v>207</v>
      </c>
      <c r="B8" s="55" t="s">
        <v>133</v>
      </c>
      <c r="C8" s="55" t="s">
        <v>134</v>
      </c>
      <c r="D8" s="55" t="s">
        <v>176</v>
      </c>
      <c r="E8" s="55" t="s">
        <v>135</v>
      </c>
      <c r="F8" s="55" t="s">
        <v>136</v>
      </c>
      <c r="G8" s="55" t="s">
        <v>137</v>
      </c>
      <c r="H8" s="55" t="s">
        <v>138</v>
      </c>
      <c r="I8" s="55" t="s">
        <v>139</v>
      </c>
      <c r="J8" s="55" t="s">
        <v>140</v>
      </c>
      <c r="K8" s="55" t="s">
        <v>141</v>
      </c>
      <c r="L8" s="55" t="s">
        <v>142</v>
      </c>
      <c r="M8" s="55" t="s">
        <v>143</v>
      </c>
      <c r="N8" s="55" t="s">
        <v>144</v>
      </c>
    </row>
    <row r="9" spans="1:14" x14ac:dyDescent="0.3">
      <c r="A9" s="56" t="s">
        <v>163</v>
      </c>
      <c r="B9" s="67">
        <f>'HO Rev Data Input'!B15</f>
        <v>0</v>
      </c>
      <c r="C9" s="67">
        <f>'HO Rev Data Input'!C15</f>
        <v>0</v>
      </c>
      <c r="D9" s="78">
        <f t="shared" ref="D9:D10" si="2">IF(SUM(B9:C9)=0,0,AVERAGE(B9:C9))</f>
        <v>0</v>
      </c>
      <c r="E9" s="67">
        <f>'HO Rev Data Input'!D15</f>
        <v>0</v>
      </c>
      <c r="F9" s="67">
        <f>'HO Rev Data Input'!E15</f>
        <v>0</v>
      </c>
      <c r="G9" s="67">
        <f>'HO Rev Data Input'!F15</f>
        <v>0</v>
      </c>
      <c r="H9" s="67">
        <f>'HO Rev Data Input'!G15</f>
        <v>0</v>
      </c>
      <c r="I9" s="67">
        <f>'HO Rev Data Input'!H15</f>
        <v>0</v>
      </c>
      <c r="J9" s="67">
        <f>'HO Rev Data Input'!I15</f>
        <v>0</v>
      </c>
      <c r="K9" s="67">
        <f>'HO Rev Data Input'!J15</f>
        <v>0</v>
      </c>
      <c r="L9" s="67">
        <f>'HO Rev Data Input'!K15</f>
        <v>0</v>
      </c>
      <c r="M9" s="67">
        <f>'HO Rev Data Input'!L15</f>
        <v>0</v>
      </c>
      <c r="N9" s="67">
        <f>'HO Rev Data Input'!M15</f>
        <v>0</v>
      </c>
    </row>
    <row r="10" spans="1:14" x14ac:dyDescent="0.3">
      <c r="A10" s="56" t="s">
        <v>165</v>
      </c>
      <c r="B10" s="77">
        <f>'HO Rev Data Input'!B19</f>
        <v>0</v>
      </c>
      <c r="C10" s="77">
        <f>'HO Rev Data Input'!C19</f>
        <v>0</v>
      </c>
      <c r="D10" s="58">
        <f t="shared" si="2"/>
        <v>0</v>
      </c>
      <c r="E10" s="77">
        <f>'HO Rev Data Input'!D19</f>
        <v>0</v>
      </c>
      <c r="F10" s="77">
        <f>'HO Rev Data Input'!E19</f>
        <v>0</v>
      </c>
      <c r="G10" s="77">
        <f>'HO Rev Data Input'!F19</f>
        <v>0</v>
      </c>
      <c r="H10" s="77">
        <f>'HO Rev Data Input'!G19</f>
        <v>0</v>
      </c>
      <c r="I10" s="77">
        <f>'HO Rev Data Input'!H19</f>
        <v>0</v>
      </c>
      <c r="J10" s="77">
        <f>'HO Rev Data Input'!I19</f>
        <v>0</v>
      </c>
      <c r="K10" s="77">
        <f>'HO Rev Data Input'!J19</f>
        <v>0</v>
      </c>
      <c r="L10" s="77">
        <f>'HO Rev Data Input'!K19</f>
        <v>0</v>
      </c>
      <c r="M10" s="77">
        <f>'HO Rev Data Input'!L19</f>
        <v>0</v>
      </c>
      <c r="N10" s="77">
        <f>'HO Rev Data Input'!M19</f>
        <v>0</v>
      </c>
    </row>
    <row r="11" spans="1:14" x14ac:dyDescent="0.3">
      <c r="A11" s="56"/>
      <c r="B11" s="47"/>
      <c r="C11" s="47"/>
      <c r="D11" s="56"/>
      <c r="E11" s="56"/>
      <c r="F11" s="56"/>
      <c r="G11" s="56"/>
      <c r="H11" s="56"/>
      <c r="I11" s="56"/>
      <c r="J11" s="56"/>
      <c r="K11" s="56"/>
      <c r="L11" s="56"/>
      <c r="M11" s="56"/>
      <c r="N11" s="56"/>
    </row>
    <row r="12" spans="1:14" x14ac:dyDescent="0.3">
      <c r="A12" s="51" t="s">
        <v>182</v>
      </c>
      <c r="B12" s="55" t="s">
        <v>133</v>
      </c>
      <c r="C12" s="55" t="s">
        <v>134</v>
      </c>
      <c r="D12" s="55" t="s">
        <v>176</v>
      </c>
      <c r="E12" s="55" t="s">
        <v>135</v>
      </c>
      <c r="F12" s="55" t="s">
        <v>136</v>
      </c>
      <c r="G12" s="55" t="s">
        <v>137</v>
      </c>
      <c r="H12" s="55" t="s">
        <v>138</v>
      </c>
      <c r="I12" s="55" t="s">
        <v>139</v>
      </c>
      <c r="J12" s="55" t="s">
        <v>140</v>
      </c>
      <c r="K12" s="55" t="s">
        <v>141</v>
      </c>
      <c r="L12" s="55" t="s">
        <v>142</v>
      </c>
      <c r="M12" s="55" t="s">
        <v>143</v>
      </c>
      <c r="N12" s="55" t="s">
        <v>144</v>
      </c>
    </row>
    <row r="13" spans="1:14" x14ac:dyDescent="0.3">
      <c r="A13" s="56" t="s">
        <v>183</v>
      </c>
      <c r="B13" s="65">
        <f>'HO Rev Data Input'!B23</f>
        <v>0</v>
      </c>
      <c r="C13" s="65">
        <f>'HO Rev Data Input'!C23</f>
        <v>0</v>
      </c>
      <c r="D13" s="78">
        <f t="shared" ref="D13:D18" si="3">IF(SUM(B13:C13)=0,0,AVERAGE(B13:C13))</f>
        <v>0</v>
      </c>
      <c r="E13" s="65">
        <f>'HO Rev Data Input'!D23</f>
        <v>0</v>
      </c>
      <c r="F13" s="65">
        <f>'HO Rev Data Input'!E23</f>
        <v>0</v>
      </c>
      <c r="G13" s="65">
        <f>'HO Rev Data Input'!F23</f>
        <v>0</v>
      </c>
      <c r="H13" s="65">
        <f>'HO Rev Data Input'!G23</f>
        <v>0</v>
      </c>
      <c r="I13" s="65">
        <f>'HO Rev Data Input'!H23</f>
        <v>0</v>
      </c>
      <c r="J13" s="65">
        <f>'HO Rev Data Input'!I23</f>
        <v>0</v>
      </c>
      <c r="K13" s="65">
        <f>'HO Rev Data Input'!J23</f>
        <v>0</v>
      </c>
      <c r="L13" s="65">
        <f>'HO Rev Data Input'!K23</f>
        <v>0</v>
      </c>
      <c r="M13" s="65">
        <f>'HO Rev Data Input'!L23</f>
        <v>0</v>
      </c>
      <c r="N13" s="65">
        <f>'HO Rev Data Input'!M23</f>
        <v>0</v>
      </c>
    </row>
    <row r="14" spans="1:14" x14ac:dyDescent="0.3">
      <c r="A14" s="56" t="s">
        <v>154</v>
      </c>
      <c r="B14" s="67">
        <f>'HO Rev Data Input'!B28</f>
        <v>0</v>
      </c>
      <c r="C14" s="67">
        <f>'HO Rev Data Input'!C28</f>
        <v>0</v>
      </c>
      <c r="D14" s="78">
        <f t="shared" si="3"/>
        <v>0</v>
      </c>
      <c r="E14" s="67">
        <f>'HO Rev Data Input'!D28</f>
        <v>0</v>
      </c>
      <c r="F14" s="67">
        <f>'HO Rev Data Input'!E28</f>
        <v>0</v>
      </c>
      <c r="G14" s="67">
        <f>'HO Rev Data Input'!F28</f>
        <v>0</v>
      </c>
      <c r="H14" s="67">
        <f>'HO Rev Data Input'!G28</f>
        <v>0</v>
      </c>
      <c r="I14" s="67">
        <f>'HO Rev Data Input'!H28</f>
        <v>0</v>
      </c>
      <c r="J14" s="67">
        <f>'HO Rev Data Input'!I28</f>
        <v>0</v>
      </c>
      <c r="K14" s="67">
        <f>'HO Rev Data Input'!J28</f>
        <v>0</v>
      </c>
      <c r="L14" s="67">
        <f>'HO Rev Data Input'!K28</f>
        <v>0</v>
      </c>
      <c r="M14" s="67">
        <f>'HO Rev Data Input'!L28</f>
        <v>0</v>
      </c>
      <c r="N14" s="67">
        <f>'HO Rev Data Input'!M28</f>
        <v>0</v>
      </c>
    </row>
    <row r="15" spans="1:14" x14ac:dyDescent="0.3">
      <c r="A15" s="56" t="s">
        <v>155</v>
      </c>
      <c r="B15" s="67">
        <f>'HO Rev Data Input'!B33</f>
        <v>0</v>
      </c>
      <c r="C15" s="67">
        <f>'HO Rev Data Input'!C33</f>
        <v>0</v>
      </c>
      <c r="D15" s="78">
        <f t="shared" si="3"/>
        <v>0</v>
      </c>
      <c r="E15" s="67">
        <f>'HO Rev Data Input'!D33</f>
        <v>0</v>
      </c>
      <c r="F15" s="67">
        <f>'HO Rev Data Input'!E33</f>
        <v>0</v>
      </c>
      <c r="G15" s="67">
        <f>'HO Rev Data Input'!F33</f>
        <v>0</v>
      </c>
      <c r="H15" s="67">
        <f>'HO Rev Data Input'!G33</f>
        <v>0</v>
      </c>
      <c r="I15" s="67">
        <f>'HO Rev Data Input'!H33</f>
        <v>0</v>
      </c>
      <c r="J15" s="67">
        <f>'HO Rev Data Input'!I33</f>
        <v>0</v>
      </c>
      <c r="K15" s="67">
        <f>'HO Rev Data Input'!J33</f>
        <v>0</v>
      </c>
      <c r="L15" s="67">
        <f>'HO Rev Data Input'!K33</f>
        <v>0</v>
      </c>
      <c r="M15" s="67">
        <f>'HO Rev Data Input'!L33</f>
        <v>0</v>
      </c>
      <c r="N15" s="67">
        <f>'HO Rev Data Input'!M33</f>
        <v>0</v>
      </c>
    </row>
    <row r="16" spans="1:14" x14ac:dyDescent="0.3">
      <c r="A16" s="56" t="s">
        <v>169</v>
      </c>
      <c r="B16" s="67">
        <f>'HO Rev Data Input'!B38</f>
        <v>0</v>
      </c>
      <c r="C16" s="67">
        <f>'HO Rev Data Input'!C38</f>
        <v>0</v>
      </c>
      <c r="D16" s="78">
        <f t="shared" si="3"/>
        <v>0</v>
      </c>
      <c r="E16" s="67">
        <f>'HO Rev Data Input'!D38</f>
        <v>0</v>
      </c>
      <c r="F16" s="67">
        <f>'HO Rev Data Input'!E38</f>
        <v>0</v>
      </c>
      <c r="G16" s="67">
        <f>'HO Rev Data Input'!F38</f>
        <v>0</v>
      </c>
      <c r="H16" s="67">
        <f>'HO Rev Data Input'!G38</f>
        <v>0</v>
      </c>
      <c r="I16" s="67">
        <f>'HO Rev Data Input'!H38</f>
        <v>0</v>
      </c>
      <c r="J16" s="67">
        <f>'HO Rev Data Input'!I38</f>
        <v>0</v>
      </c>
      <c r="K16" s="67">
        <f>'HO Rev Data Input'!J38</f>
        <v>0</v>
      </c>
      <c r="L16" s="67">
        <f>'HO Rev Data Input'!K38</f>
        <v>0</v>
      </c>
      <c r="M16" s="67">
        <f>'HO Rev Data Input'!L38</f>
        <v>0</v>
      </c>
      <c r="N16" s="67">
        <f>'HO Rev Data Input'!M38</f>
        <v>0</v>
      </c>
    </row>
    <row r="17" spans="1:14" x14ac:dyDescent="0.3">
      <c r="A17" s="56" t="s">
        <v>190</v>
      </c>
      <c r="B17" s="65">
        <f>'HO Rev Data Input'!B43</f>
        <v>0</v>
      </c>
      <c r="C17" s="65">
        <f>'HO Rev Data Input'!C43</f>
        <v>0</v>
      </c>
      <c r="D17" s="78">
        <f t="shared" si="3"/>
        <v>0</v>
      </c>
      <c r="E17" s="65">
        <f>'HO Rev Data Input'!D43</f>
        <v>0</v>
      </c>
      <c r="F17" s="65">
        <f>'HO Rev Data Input'!E43</f>
        <v>0</v>
      </c>
      <c r="G17" s="65">
        <f>'HO Rev Data Input'!F43</f>
        <v>0</v>
      </c>
      <c r="H17" s="65">
        <f>'HO Rev Data Input'!G43</f>
        <v>0</v>
      </c>
      <c r="I17" s="65">
        <f>'HO Rev Data Input'!H43</f>
        <v>0</v>
      </c>
      <c r="J17" s="65">
        <f>'HO Rev Data Input'!I43</f>
        <v>0</v>
      </c>
      <c r="K17" s="65">
        <f>'HO Rev Data Input'!J43</f>
        <v>0</v>
      </c>
      <c r="L17" s="65">
        <f>'HO Rev Data Input'!K43</f>
        <v>0</v>
      </c>
      <c r="M17" s="65">
        <f>'HO Rev Data Input'!L43</f>
        <v>0</v>
      </c>
      <c r="N17" s="65">
        <f>'HO Rev Data Input'!M43</f>
        <v>0</v>
      </c>
    </row>
    <row r="18" spans="1:14" x14ac:dyDescent="0.3">
      <c r="A18" s="56" t="s">
        <v>171</v>
      </c>
      <c r="B18" s="65">
        <f>'HO Rev Data Input'!B48</f>
        <v>0</v>
      </c>
      <c r="C18" s="65">
        <f>'HO Rev Data Input'!C48</f>
        <v>0</v>
      </c>
      <c r="D18" s="78">
        <f t="shared" si="3"/>
        <v>0</v>
      </c>
      <c r="E18" s="65">
        <f>'HO Rev Data Input'!D48</f>
        <v>0</v>
      </c>
      <c r="F18" s="65">
        <f>'HO Rev Data Input'!E48</f>
        <v>0</v>
      </c>
      <c r="G18" s="65">
        <f>'HO Rev Data Input'!F48</f>
        <v>0</v>
      </c>
      <c r="H18" s="65">
        <f>'HO Rev Data Input'!G48</f>
        <v>0</v>
      </c>
      <c r="I18" s="65">
        <f>'HO Rev Data Input'!H48</f>
        <v>0</v>
      </c>
      <c r="J18" s="65">
        <f>'HO Rev Data Input'!I48</f>
        <v>0</v>
      </c>
      <c r="K18" s="65">
        <f>'HO Rev Data Input'!J48</f>
        <v>0</v>
      </c>
      <c r="L18" s="65">
        <f>'HO Rev Data Input'!K48</f>
        <v>0</v>
      </c>
      <c r="M18" s="65">
        <f>'HO Rev Data Input'!L48</f>
        <v>0</v>
      </c>
      <c r="N18" s="65">
        <f>'HO Rev Data Input'!M48</f>
        <v>0</v>
      </c>
    </row>
  </sheetData>
  <sheetProtection algorithmName="SHA-512" hashValue="W+3wZ6FRrxl8VgEQZGsVxqRDRJY0TKuQHOuhKP74+x97/W1yyUsx3glU69CoUCD2HG0uCAaz1igx4BQmqiuzwA==" saltValue="Mp1oNaNtwo7Pt/j7Ftu6y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0A7ED-D2DD-45DB-86C8-F64A866189BB}">
  <sheetPr>
    <tabColor theme="5" tint="0.79998168889431442"/>
  </sheetPr>
  <dimension ref="A1:N13"/>
  <sheetViews>
    <sheetView workbookViewId="0">
      <pane xSplit="1" ySplit="2" topLeftCell="B3" activePane="bottomRight" state="frozen"/>
      <selection pane="topRight" activeCell="B1" sqref="B1"/>
      <selection pane="bottomLeft" activeCell="A3" sqref="A3"/>
      <selection pane="bottomRight" activeCell="D10" sqref="D10"/>
    </sheetView>
  </sheetViews>
  <sheetFormatPr defaultColWidth="9.140625" defaultRowHeight="15" x14ac:dyDescent="0.3"/>
  <cols>
    <col min="1" max="1" width="27.28515625" style="22" customWidth="1"/>
    <col min="2" max="3" width="22" style="41" bestFit="1" customWidth="1"/>
    <col min="4" max="4" width="25.5703125" style="22" customWidth="1"/>
    <col min="5" max="14" width="23.5703125" style="22" customWidth="1"/>
    <col min="15" max="16384" width="9.140625" style="22"/>
  </cols>
  <sheetData>
    <row r="1" spans="1:14" x14ac:dyDescent="0.3">
      <c r="A1" s="51" t="s">
        <v>172</v>
      </c>
      <c r="B1" s="52"/>
      <c r="C1" s="52"/>
      <c r="D1" s="53"/>
      <c r="E1" s="53"/>
      <c r="F1" s="53"/>
      <c r="G1" s="53"/>
      <c r="H1" s="53"/>
      <c r="I1" s="53"/>
      <c r="J1" s="53"/>
      <c r="K1" s="53"/>
      <c r="L1" s="53"/>
      <c r="M1" s="53"/>
      <c r="N1" s="53"/>
    </row>
    <row r="2" spans="1:14" x14ac:dyDescent="0.3">
      <c r="A2" s="51" t="s">
        <v>191</v>
      </c>
      <c r="B2" s="52"/>
      <c r="C2" s="52"/>
      <c r="D2" s="53"/>
      <c r="E2" s="53"/>
      <c r="F2" s="53"/>
      <c r="G2" s="53"/>
      <c r="H2" s="53"/>
      <c r="I2" s="53"/>
      <c r="J2" s="53"/>
      <c r="K2" s="53"/>
      <c r="L2" s="53"/>
      <c r="M2" s="53"/>
      <c r="N2" s="53"/>
    </row>
    <row r="3" spans="1:14" x14ac:dyDescent="0.3">
      <c r="A3" s="51" t="s">
        <v>175</v>
      </c>
      <c r="B3" s="55" t="s">
        <v>133</v>
      </c>
      <c r="C3" s="55" t="s">
        <v>134</v>
      </c>
      <c r="D3" s="55" t="s">
        <v>176</v>
      </c>
      <c r="E3" s="55" t="s">
        <v>135</v>
      </c>
      <c r="F3" s="55" t="s">
        <v>136</v>
      </c>
      <c r="G3" s="55" t="s">
        <v>137</v>
      </c>
      <c r="H3" s="55" t="s">
        <v>138</v>
      </c>
      <c r="I3" s="55" t="s">
        <v>139</v>
      </c>
      <c r="J3" s="55" t="s">
        <v>140</v>
      </c>
      <c r="K3" s="55" t="s">
        <v>141</v>
      </c>
      <c r="L3" s="55" t="s">
        <v>142</v>
      </c>
      <c r="M3" s="55" t="s">
        <v>143</v>
      </c>
      <c r="N3" s="55" t="s">
        <v>144</v>
      </c>
    </row>
    <row r="4" spans="1:14" x14ac:dyDescent="0.3">
      <c r="A4" s="56" t="s">
        <v>161</v>
      </c>
      <c r="B4" s="57">
        <f>'HO Rev Data Input'!B11</f>
        <v>0</v>
      </c>
      <c r="C4" s="57">
        <f>'HO Rev Data Input'!C11</f>
        <v>0</v>
      </c>
      <c r="D4" s="58">
        <f>IF(SUM(B4:C4)=0,0,AVERAGE(B4:C4))</f>
        <v>0</v>
      </c>
      <c r="E4" s="57">
        <f>'HO Rev Data Input'!D11</f>
        <v>0</v>
      </c>
      <c r="F4" s="57">
        <f>'HO Rev Data Input'!E11</f>
        <v>0</v>
      </c>
      <c r="G4" s="57">
        <f>'HO Rev Data Input'!F11</f>
        <v>0</v>
      </c>
      <c r="H4" s="57">
        <f>'HO Rev Data Input'!G11</f>
        <v>0</v>
      </c>
      <c r="I4" s="57">
        <f>'HO Rev Data Input'!H11</f>
        <v>0</v>
      </c>
      <c r="J4" s="57">
        <f>'HO Rev Data Input'!I11</f>
        <v>0</v>
      </c>
      <c r="K4" s="57">
        <f>'HO Rev Data Input'!J11</f>
        <v>0</v>
      </c>
      <c r="L4" s="57">
        <f>'HO Rev Data Input'!K11</f>
        <v>0</v>
      </c>
      <c r="M4" s="57">
        <f>'HO Rev Data Input'!L11</f>
        <v>0</v>
      </c>
      <c r="N4" s="57">
        <f>'HO Rev Data Input'!M11</f>
        <v>0</v>
      </c>
    </row>
    <row r="5" spans="1:14" x14ac:dyDescent="0.3">
      <c r="A5" s="56" t="s">
        <v>329</v>
      </c>
      <c r="B5" s="185"/>
      <c r="C5" s="185"/>
      <c r="D5" s="186"/>
      <c r="E5" s="59">
        <f>E4-D4</f>
        <v>0</v>
      </c>
      <c r="F5" s="59">
        <f>(F4-$D$4)+E5</f>
        <v>0</v>
      </c>
      <c r="G5" s="59">
        <f t="shared" ref="G5:N5" si="0">(G4-$D$4)+F5</f>
        <v>0</v>
      </c>
      <c r="H5" s="59">
        <f t="shared" si="0"/>
        <v>0</v>
      </c>
      <c r="I5" s="59">
        <f t="shared" si="0"/>
        <v>0</v>
      </c>
      <c r="J5" s="59">
        <f t="shared" si="0"/>
        <v>0</v>
      </c>
      <c r="K5" s="59">
        <f t="shared" si="0"/>
        <v>0</v>
      </c>
      <c r="L5" s="59">
        <f t="shared" si="0"/>
        <v>0</v>
      </c>
      <c r="M5" s="59">
        <f t="shared" si="0"/>
        <v>0</v>
      </c>
      <c r="N5" s="59">
        <f t="shared" si="0"/>
        <v>0</v>
      </c>
    </row>
    <row r="6" spans="1:14" x14ac:dyDescent="0.3">
      <c r="A6" s="56"/>
      <c r="B6" s="47"/>
      <c r="C6" s="47"/>
      <c r="D6" s="47"/>
      <c r="E6" s="47"/>
      <c r="F6" s="47"/>
      <c r="G6" s="47"/>
      <c r="H6" s="47"/>
      <c r="I6" s="47"/>
      <c r="J6" s="47"/>
      <c r="K6" s="47"/>
      <c r="L6" s="47"/>
      <c r="M6" s="47"/>
      <c r="N6" s="47"/>
    </row>
    <row r="7" spans="1:14" x14ac:dyDescent="0.3">
      <c r="A7" s="51" t="s">
        <v>182</v>
      </c>
      <c r="B7" s="55" t="s">
        <v>133</v>
      </c>
      <c r="C7" s="55" t="s">
        <v>134</v>
      </c>
      <c r="D7" s="55" t="s">
        <v>176</v>
      </c>
      <c r="E7" s="55" t="s">
        <v>135</v>
      </c>
      <c r="F7" s="55" t="s">
        <v>136</v>
      </c>
      <c r="G7" s="55" t="s">
        <v>137</v>
      </c>
      <c r="H7" s="55" t="s">
        <v>138</v>
      </c>
      <c r="I7" s="55" t="s">
        <v>139</v>
      </c>
      <c r="J7" s="55" t="s">
        <v>140</v>
      </c>
      <c r="K7" s="55" t="s">
        <v>141</v>
      </c>
      <c r="L7" s="55" t="s">
        <v>142</v>
      </c>
      <c r="M7" s="55" t="s">
        <v>143</v>
      </c>
      <c r="N7" s="55" t="s">
        <v>144</v>
      </c>
    </row>
    <row r="8" spans="1:14" x14ac:dyDescent="0.3">
      <c r="A8" s="56" t="s">
        <v>183</v>
      </c>
      <c r="B8" s="65">
        <f>'HO Rev Data Input'!B24</f>
        <v>0</v>
      </c>
      <c r="C8" s="65">
        <f>'HO Rev Data Input'!C24</f>
        <v>0</v>
      </c>
      <c r="D8" s="78">
        <f t="shared" ref="D8:D13" si="1">IF(SUM(B8:C8)=0,0,AVERAGE(B8:C8))</f>
        <v>0</v>
      </c>
      <c r="E8" s="65">
        <f>'HO Rev Data Input'!D24</f>
        <v>0</v>
      </c>
      <c r="F8" s="65">
        <f>'HO Rev Data Input'!E24</f>
        <v>0</v>
      </c>
      <c r="G8" s="65">
        <f>'HO Rev Data Input'!F24</f>
        <v>0</v>
      </c>
      <c r="H8" s="65">
        <f>'HO Rev Data Input'!G24</f>
        <v>0</v>
      </c>
      <c r="I8" s="65">
        <f>'HO Rev Data Input'!H24</f>
        <v>0</v>
      </c>
      <c r="J8" s="65">
        <f>'HO Rev Data Input'!I24</f>
        <v>0</v>
      </c>
      <c r="K8" s="65">
        <f>'HO Rev Data Input'!J24</f>
        <v>0</v>
      </c>
      <c r="L8" s="65">
        <f>'HO Rev Data Input'!K24</f>
        <v>0</v>
      </c>
      <c r="M8" s="65">
        <f>'HO Rev Data Input'!L24</f>
        <v>0</v>
      </c>
      <c r="N8" s="65">
        <f>'HO Rev Data Input'!M24</f>
        <v>0</v>
      </c>
    </row>
    <row r="9" spans="1:14" x14ac:dyDescent="0.3">
      <c r="A9" s="56" t="s">
        <v>154</v>
      </c>
      <c r="B9" s="67">
        <f>'HO Rev Data Input'!B29</f>
        <v>0</v>
      </c>
      <c r="C9" s="67">
        <f>'HO Rev Data Input'!C29</f>
        <v>0</v>
      </c>
      <c r="D9" s="78">
        <f t="shared" si="1"/>
        <v>0</v>
      </c>
      <c r="E9" s="67">
        <f>'HO Rev Data Input'!D29</f>
        <v>0</v>
      </c>
      <c r="F9" s="67">
        <f>'HO Rev Data Input'!E29</f>
        <v>0</v>
      </c>
      <c r="G9" s="67">
        <f>'HO Rev Data Input'!F29</f>
        <v>0</v>
      </c>
      <c r="H9" s="67">
        <f>'HO Rev Data Input'!G29</f>
        <v>0</v>
      </c>
      <c r="I9" s="67">
        <f>'HO Rev Data Input'!H29</f>
        <v>0</v>
      </c>
      <c r="J9" s="67">
        <f>'HO Rev Data Input'!I29</f>
        <v>0</v>
      </c>
      <c r="K9" s="67">
        <f>'HO Rev Data Input'!J29</f>
        <v>0</v>
      </c>
      <c r="L9" s="67">
        <f>'HO Rev Data Input'!K29</f>
        <v>0</v>
      </c>
      <c r="M9" s="67">
        <f>'HO Rev Data Input'!L29</f>
        <v>0</v>
      </c>
      <c r="N9" s="67">
        <f>'HO Rev Data Input'!M29</f>
        <v>0</v>
      </c>
    </row>
    <row r="10" spans="1:14" x14ac:dyDescent="0.3">
      <c r="A10" s="56" t="s">
        <v>155</v>
      </c>
      <c r="B10" s="67">
        <f>'HO Rev Data Input'!B34</f>
        <v>0</v>
      </c>
      <c r="C10" s="67">
        <f>'HO Rev Data Input'!C34</f>
        <v>0</v>
      </c>
      <c r="D10" s="78">
        <f t="shared" si="1"/>
        <v>0</v>
      </c>
      <c r="E10" s="67">
        <f>'HO Rev Data Input'!D34</f>
        <v>0</v>
      </c>
      <c r="F10" s="67">
        <f>'HO Rev Data Input'!E34</f>
        <v>0</v>
      </c>
      <c r="G10" s="67">
        <f>'HO Rev Data Input'!F34</f>
        <v>0</v>
      </c>
      <c r="H10" s="67">
        <f>'HO Rev Data Input'!G34</f>
        <v>0</v>
      </c>
      <c r="I10" s="67">
        <f>'HO Rev Data Input'!H34</f>
        <v>0</v>
      </c>
      <c r="J10" s="67">
        <f>'HO Rev Data Input'!I34</f>
        <v>0</v>
      </c>
      <c r="K10" s="67">
        <f>'HO Rev Data Input'!J34</f>
        <v>0</v>
      </c>
      <c r="L10" s="67">
        <f>'HO Rev Data Input'!K34</f>
        <v>0</v>
      </c>
      <c r="M10" s="67">
        <f>'HO Rev Data Input'!L34</f>
        <v>0</v>
      </c>
      <c r="N10" s="67">
        <f>'HO Rev Data Input'!M34</f>
        <v>0</v>
      </c>
    </row>
    <row r="11" spans="1:14" x14ac:dyDescent="0.3">
      <c r="A11" s="56" t="s">
        <v>169</v>
      </c>
      <c r="B11" s="67">
        <f>'HO Rev Data Input'!B39</f>
        <v>0</v>
      </c>
      <c r="C11" s="67">
        <f>'HO Rev Data Input'!C39</f>
        <v>0</v>
      </c>
      <c r="D11" s="78">
        <f t="shared" si="1"/>
        <v>0</v>
      </c>
      <c r="E11" s="67">
        <f>'HO Rev Data Input'!D39</f>
        <v>0</v>
      </c>
      <c r="F11" s="67">
        <f>'HO Rev Data Input'!E39</f>
        <v>0</v>
      </c>
      <c r="G11" s="67">
        <f>'HO Rev Data Input'!F39</f>
        <v>0</v>
      </c>
      <c r="H11" s="67">
        <f>'HO Rev Data Input'!G39</f>
        <v>0</v>
      </c>
      <c r="I11" s="67">
        <f>'HO Rev Data Input'!H39</f>
        <v>0</v>
      </c>
      <c r="J11" s="67">
        <f>'HO Rev Data Input'!I39</f>
        <v>0</v>
      </c>
      <c r="K11" s="67">
        <f>'HO Rev Data Input'!J39</f>
        <v>0</v>
      </c>
      <c r="L11" s="67">
        <f>'HO Rev Data Input'!K39</f>
        <v>0</v>
      </c>
      <c r="M11" s="67">
        <f>'HO Rev Data Input'!L39</f>
        <v>0</v>
      </c>
      <c r="N11" s="67">
        <f>'HO Rev Data Input'!M39</f>
        <v>0</v>
      </c>
    </row>
    <row r="12" spans="1:14" x14ac:dyDescent="0.3">
      <c r="A12" s="56" t="s">
        <v>190</v>
      </c>
      <c r="B12" s="65">
        <f>'HO Rev Data Input'!B44</f>
        <v>0</v>
      </c>
      <c r="C12" s="65">
        <f>'HO Rev Data Input'!C44</f>
        <v>0</v>
      </c>
      <c r="D12" s="78">
        <f t="shared" si="1"/>
        <v>0</v>
      </c>
      <c r="E12" s="65">
        <f>'HO Rev Data Input'!D44</f>
        <v>0</v>
      </c>
      <c r="F12" s="65">
        <f>'HO Rev Data Input'!E44</f>
        <v>0</v>
      </c>
      <c r="G12" s="65">
        <f>'HO Rev Data Input'!F44</f>
        <v>0</v>
      </c>
      <c r="H12" s="65">
        <f>'HO Rev Data Input'!G44</f>
        <v>0</v>
      </c>
      <c r="I12" s="65">
        <f>'HO Rev Data Input'!H44</f>
        <v>0</v>
      </c>
      <c r="J12" s="65">
        <f>'HO Rev Data Input'!I44</f>
        <v>0</v>
      </c>
      <c r="K12" s="65">
        <f>'HO Rev Data Input'!J44</f>
        <v>0</v>
      </c>
      <c r="L12" s="65">
        <f>'HO Rev Data Input'!K44</f>
        <v>0</v>
      </c>
      <c r="M12" s="65">
        <f>'HO Rev Data Input'!L44</f>
        <v>0</v>
      </c>
      <c r="N12" s="65">
        <f>'HO Rev Data Input'!M44</f>
        <v>0</v>
      </c>
    </row>
    <row r="13" spans="1:14" x14ac:dyDescent="0.3">
      <c r="A13" s="56" t="s">
        <v>171</v>
      </c>
      <c r="B13" s="65">
        <f>'HO Rev Data Input'!B49</f>
        <v>0</v>
      </c>
      <c r="C13" s="65">
        <f>'HO Rev Data Input'!C49</f>
        <v>0</v>
      </c>
      <c r="D13" s="78">
        <f t="shared" si="1"/>
        <v>0</v>
      </c>
      <c r="E13" s="65">
        <f>'HO Rev Data Input'!D49</f>
        <v>0</v>
      </c>
      <c r="F13" s="65">
        <f>'HO Rev Data Input'!E49</f>
        <v>0</v>
      </c>
      <c r="G13" s="65">
        <f>'HO Rev Data Input'!F49</f>
        <v>0</v>
      </c>
      <c r="H13" s="65">
        <f>'HO Rev Data Input'!G49</f>
        <v>0</v>
      </c>
      <c r="I13" s="65">
        <f>'HO Rev Data Input'!H49</f>
        <v>0</v>
      </c>
      <c r="J13" s="65">
        <f>'HO Rev Data Input'!I49</f>
        <v>0</v>
      </c>
      <c r="K13" s="65">
        <f>'HO Rev Data Input'!J49</f>
        <v>0</v>
      </c>
      <c r="L13" s="65">
        <f>'HO Rev Data Input'!K49</f>
        <v>0</v>
      </c>
      <c r="M13" s="65">
        <f>'HO Rev Data Input'!L49</f>
        <v>0</v>
      </c>
      <c r="N13" s="65">
        <f>'HO Rev Data Input'!M49</f>
        <v>0</v>
      </c>
    </row>
  </sheetData>
  <sheetProtection algorithmName="SHA-512" hashValue="UygQgVdujQKa6lKnkqawX0SnBRnyx7ySPSRB0cv4QYSa8cCgVqUuilMVgUxFmSim8uvMchFgyxMrv6Oy8TsyuA==" saltValue="qX9uvfsDleRk6GCp9Jdlo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5CB5-EF57-427F-9604-8F64FDA9CBE3}">
  <sheetPr>
    <tabColor theme="5" tint="0.79998168889431442"/>
  </sheetPr>
  <dimension ref="A1:P95"/>
  <sheetViews>
    <sheetView zoomScale="90" zoomScaleNormal="90" workbookViewId="0">
      <pane xSplit="1" ySplit="2" topLeftCell="B3" activePane="bottomRight" state="frozen"/>
      <selection activeCell="B104" sqref="B104"/>
      <selection pane="topRight" activeCell="B104" sqref="B104"/>
      <selection pane="bottomLeft" activeCell="B104" sqref="B104"/>
      <selection pane="bottomRight" activeCell="B5" sqref="B5"/>
    </sheetView>
  </sheetViews>
  <sheetFormatPr defaultColWidth="9.140625" defaultRowHeight="15" x14ac:dyDescent="0.3"/>
  <cols>
    <col min="1" max="1" width="48" style="22" bestFit="1" customWidth="1"/>
    <col min="2" max="14" width="15.7109375" style="41" customWidth="1"/>
    <col min="15" max="15" width="9.140625" style="22"/>
    <col min="16" max="16" width="35.85546875" style="44" customWidth="1"/>
    <col min="17" max="17" width="18.42578125" style="22" bestFit="1" customWidth="1"/>
    <col min="18" max="16384" width="9.140625" style="22"/>
  </cols>
  <sheetData>
    <row r="1" spans="1:16" s="132" customFormat="1" ht="18" x14ac:dyDescent="0.35">
      <c r="A1" s="201" t="s">
        <v>86</v>
      </c>
      <c r="B1" s="131"/>
      <c r="C1" s="131"/>
      <c r="D1" s="131"/>
      <c r="E1" s="131"/>
      <c r="F1" s="131"/>
      <c r="G1" s="131"/>
      <c r="H1" s="131"/>
      <c r="I1" s="131"/>
      <c r="J1" s="131"/>
      <c r="K1" s="131"/>
      <c r="L1" s="131"/>
      <c r="M1" s="131"/>
      <c r="N1" s="131"/>
      <c r="P1" s="44"/>
    </row>
    <row r="2" spans="1:16" s="132" customFormat="1" ht="18" x14ac:dyDescent="0.35">
      <c r="A2" s="201" t="s">
        <v>127</v>
      </c>
      <c r="B2" s="131"/>
      <c r="C2" s="131"/>
      <c r="D2" s="131"/>
      <c r="E2" s="131"/>
      <c r="F2" s="133"/>
      <c r="G2" s="133"/>
      <c r="H2" s="133"/>
      <c r="I2" s="133"/>
      <c r="J2" s="133"/>
      <c r="K2" s="133"/>
      <c r="L2" s="133"/>
      <c r="M2" s="133"/>
      <c r="N2" s="133"/>
      <c r="P2" s="44"/>
    </row>
    <row r="3" spans="1:16" s="132" customFormat="1" ht="15.75" thickBot="1" x14ac:dyDescent="0.35">
      <c r="A3" s="51"/>
      <c r="B3" s="134"/>
      <c r="C3" s="134"/>
      <c r="D3" s="134"/>
      <c r="E3" s="134"/>
      <c r="F3" s="133"/>
      <c r="G3" s="133"/>
      <c r="H3" s="133"/>
      <c r="I3" s="133"/>
      <c r="J3" s="133"/>
      <c r="K3" s="133"/>
      <c r="L3" s="133"/>
      <c r="M3" s="133"/>
      <c r="N3" s="133"/>
      <c r="P3" s="44"/>
    </row>
    <row r="4" spans="1:16" ht="16.5" thickTop="1" thickBot="1" x14ac:dyDescent="0.35">
      <c r="A4" s="37" t="s">
        <v>83</v>
      </c>
      <c r="B4" s="38">
        <v>43831</v>
      </c>
      <c r="C4" s="38">
        <v>43862</v>
      </c>
      <c r="D4" s="38">
        <v>43891</v>
      </c>
      <c r="E4" s="38">
        <v>43922</v>
      </c>
      <c r="F4" s="42">
        <v>43952</v>
      </c>
      <c r="G4" s="42">
        <v>43983</v>
      </c>
      <c r="H4" s="42">
        <v>44013</v>
      </c>
      <c r="I4" s="42">
        <v>44044</v>
      </c>
      <c r="J4" s="42">
        <v>44075</v>
      </c>
      <c r="K4" s="42">
        <v>44105</v>
      </c>
      <c r="L4" s="42">
        <v>44136</v>
      </c>
      <c r="M4" s="42">
        <v>44166</v>
      </c>
      <c r="N4" s="42" t="s">
        <v>88</v>
      </c>
      <c r="P4" s="198" t="s">
        <v>7</v>
      </c>
    </row>
    <row r="5" spans="1:16" ht="16.5" thickTop="1" thickBot="1" x14ac:dyDescent="0.35">
      <c r="A5" s="24" t="s">
        <v>27</v>
      </c>
      <c r="B5" s="39">
        <f>SUMIFS(Table5[Expense],Table5[Service Line],"Home Health",Table5[Cost Subcategory],"CONTRACT LABOR",Table5[Month],"JANUARY")</f>
        <v>0</v>
      </c>
      <c r="C5" s="39">
        <f>SUMIFS(Table5[Expense],Table5[Service Line],"Home Health",Table5[Cost Subcategory],"CONTRACT LABOR",Table5[Month],"FEBRUARY")</f>
        <v>0</v>
      </c>
      <c r="D5" s="39">
        <f>SUMIFS(Table5[Expense],Table5[Service Line],"Home Health",Table5[Cost Subcategory],"CONTRACT LABOR",Table5[Month],"MARCH")</f>
        <v>0</v>
      </c>
      <c r="E5" s="39">
        <f>SUMIFS(Table5[Expense],Table5[Service Line],"Home Health",Table5[Cost Subcategory],"CONTRACT LABOR",Table5[Month],"APRIL")</f>
        <v>0</v>
      </c>
      <c r="F5" s="39">
        <f>SUMIFS(Table5[Expense],Table5[Service Line],"Home Health",Table5[Cost Subcategory],"CONTRACT LABOR",Table5[Month],"MAY")</f>
        <v>0</v>
      </c>
      <c r="G5" s="39">
        <f>SUMIFS(Table5[Expense],Table5[Service Line],"Home Health",Table5[Cost Subcategory],"CONTRACT LABOR",Table5[Month],"JUNE")</f>
        <v>0</v>
      </c>
      <c r="H5" s="39">
        <f>SUMIFS(Table5[Expense],Table5[Service Line],"Home Health",Table5[Cost Subcategory],"CONTRACT LABOR",Table5[Month],"JULY")</f>
        <v>0</v>
      </c>
      <c r="I5" s="39">
        <f>SUMIFS(Table5[Expense],Table5[Service Line],"Home Health",Table5[Cost Subcategory],"CONTRACT LABOR",Table5[Month],"AUGUST")</f>
        <v>0</v>
      </c>
      <c r="J5" s="39">
        <f>SUMIFS(Table5[Expense],Table5[Service Line],"Home Health",Table5[Cost Subcategory],"CONTRACT LABOR",Table5[Month],"SEPTEMBER")</f>
        <v>0</v>
      </c>
      <c r="K5" s="39">
        <f>SUMIFS(Table5[Expense],Table5[Service Line],"Home Health",Table5[Cost Subcategory],"CONTRACT LABOR",Table5[Month],"OCTOBER")</f>
        <v>0</v>
      </c>
      <c r="L5" s="39">
        <f>SUMIFS(Table5[Expense],Table5[Service Line],"Home Health",Table5[Cost Subcategory],"CONTRACT LABOR",Table5[Month],"NOVEMBER")</f>
        <v>0</v>
      </c>
      <c r="M5" s="39">
        <f>SUMIFS(Table5[Expense],Table5[Service Line],"Home Health",Table5[Cost Subcategory],"CONTRACT LABOR",Table5[Month],"DECEMBER")</f>
        <v>0</v>
      </c>
      <c r="N5" s="43">
        <f>SUM(D5:M5)</f>
        <v>0</v>
      </c>
      <c r="P5" s="198"/>
    </row>
    <row r="6" spans="1:16" ht="16.5" thickTop="1" thickBot="1" x14ac:dyDescent="0.35">
      <c r="A6" s="32" t="s">
        <v>47</v>
      </c>
      <c r="B6" s="39">
        <f>SUMIFS(Table5[Expense],Table5[Service Line],"Home Health",Table5[Cost Subcategory],"DME",Table5[Month],"JANUARY")</f>
        <v>0</v>
      </c>
      <c r="C6" s="39">
        <f>SUMIFS(Table5[Expense],Table5[Service Line],"Home Health",Table5[Cost Subcategory],"DME",Table5[Month],"FEBRUARY")</f>
        <v>0</v>
      </c>
      <c r="D6" s="39">
        <f>SUMIFS(Table5[Expense],Table5[Service Line],"Home Health",Table5[Cost Subcategory],"DME",Table5[Month],"MARCH")</f>
        <v>0</v>
      </c>
      <c r="E6" s="39">
        <f>SUMIFS(Table5[Expense],Table5[Service Line],"Home Health",Table5[Cost Subcategory],"DME",Table5[Month],"APRIL")</f>
        <v>0</v>
      </c>
      <c r="F6" s="39">
        <f>SUMIFS(Table5[Expense],Table5[Service Line],"Home Health",Table5[Cost Subcategory],"DME",Table5[Month],"MAY")</f>
        <v>0</v>
      </c>
      <c r="G6" s="39">
        <f>SUMIFS(Table5[Expense],Table5[Service Line],"Home Health",Table5[Cost Subcategory],"DME",Table5[Month],"JUNE")</f>
        <v>0</v>
      </c>
      <c r="H6" s="39">
        <f>SUMIFS(Table5[Expense],Table5[Service Line],"Home Health",Table5[Cost Subcategory],"DME",Table5[Month],"JULY")</f>
        <v>0</v>
      </c>
      <c r="I6" s="39">
        <f>SUMIFS(Table5[Expense],Table5[Service Line],"Home Health",Table5[Cost Subcategory],"DME",Table5[Month],"AUGUST")</f>
        <v>0</v>
      </c>
      <c r="J6" s="39">
        <f>SUMIFS(Table5[Expense],Table5[Service Line],"Home Health",Table5[Cost Subcategory],"DME",Table5[Month],"SEPTEMBER")</f>
        <v>0</v>
      </c>
      <c r="K6" s="39">
        <f>SUMIFS(Table5[Expense],Table5[Service Line],"Home Health",Table5[Cost Subcategory],"DME",Table5[Month],"OCTOBER")</f>
        <v>0</v>
      </c>
      <c r="L6" s="39">
        <f>SUMIFS(Table5[Expense],Table5[Service Line],"Home Health",Table5[Cost Subcategory],"DME",Table5[Month],"NOVEMBER")</f>
        <v>0</v>
      </c>
      <c r="M6" s="39">
        <f>SUMIFS(Table5[Expense],Table5[Service Line],"Home Health",Table5[Cost Subcategory],"DME",Table5[Month],"DECEMBER")</f>
        <v>0</v>
      </c>
      <c r="N6" s="43">
        <f>SUM(D6:M6)</f>
        <v>0</v>
      </c>
      <c r="P6" s="198"/>
    </row>
    <row r="7" spans="1:16" ht="16.5" thickTop="1" thickBot="1" x14ac:dyDescent="0.35">
      <c r="A7" s="31" t="s">
        <v>94</v>
      </c>
      <c r="B7" s="40">
        <f>SUMIFS(Table5[Expense],Table5[Service Line],"Home Health",Table5[Cost Subcategory],"MEDICAL SUPPLIES",Table5[Month],"JANUARY")</f>
        <v>0</v>
      </c>
      <c r="C7" s="40">
        <f>SUMIFS(Table5[Expense],Table5[Service Line],"Home Health",Table5[Cost Subcategory],"MEDICAL SUPPLIES",Table5[Month],"FEBRUARY")</f>
        <v>0</v>
      </c>
      <c r="D7" s="40">
        <f>SUMIFS(Table5[Expense],Table5[Service Line],"Home Health",Table5[Cost Subcategory],"MEDICAL SUPPLIES",Table5[Month],"MARCH")</f>
        <v>0</v>
      </c>
      <c r="E7" s="39">
        <f>SUMIFS(Table5[Expense],Table5[Service Line],"Home Health",Table5[Cost Subcategory],"MEDICAL SUPPLIES",Table5[Month],"APRIL")</f>
        <v>0</v>
      </c>
      <c r="F7" s="39">
        <f>SUMIFS(Table5[Expense],Table5[Service Line],"Home Health",Table5[Cost Subcategory],"MEDICAL SUPPLIES",Table5[Month],"MAY")</f>
        <v>0</v>
      </c>
      <c r="G7" s="39">
        <f>SUMIFS(Table5[Expense],Table5[Service Line],"Home Health",Table5[Cost Subcategory],"MEDICAL SUPPLIES",Table5[Month],"JUNE")</f>
        <v>0</v>
      </c>
      <c r="H7" s="39">
        <f>SUMIFS(Table5[Expense],Table5[Service Line],"Home Health",Table5[Cost Subcategory],"MEDICAL SUPPLIES",Table5[Month],"JULY")</f>
        <v>0</v>
      </c>
      <c r="I7" s="39">
        <f>SUMIFS(Table5[Expense],Table5[Service Line],"Home Health",Table5[Cost Subcategory],"MEDICAL SUPPLIES",Table5[Month],"AUGUST")</f>
        <v>0</v>
      </c>
      <c r="J7" s="39">
        <f>SUMIFS(Table5[Expense],Table5[Service Line],"Home Health",Table5[Cost Subcategory],"MEDICAL SUPPLIES",Table5[Month],"SEPTEMBER")</f>
        <v>0</v>
      </c>
      <c r="K7" s="39">
        <f>SUMIFS(Table5[Expense],Table5[Service Line],"Home Health",Table5[Cost Subcategory],"MEDICAL SUPPLIES",Table5[Month],"OCTOBER")</f>
        <v>0</v>
      </c>
      <c r="L7" s="39">
        <f>SUMIFS(Table5[Expense],Table5[Service Line],"Home Health",Table5[Cost Subcategory],"MEDICAL SUPPLIES",Table5[Month],"NOVEMBER")</f>
        <v>0</v>
      </c>
      <c r="M7" s="39">
        <f>SUMIFS(Table5[Expense],Table5[Service Line],"Home Health",Table5[Cost Subcategory],"MEDICAL SUPPLIES",Table5[Month],"DECEMBER")</f>
        <v>0</v>
      </c>
      <c r="N7" s="43">
        <f>SUM(D7:M7)</f>
        <v>0</v>
      </c>
      <c r="P7" s="198"/>
    </row>
    <row r="8" spans="1:16" ht="16.5" thickTop="1" thickBot="1" x14ac:dyDescent="0.35">
      <c r="A8" s="24" t="s">
        <v>95</v>
      </c>
      <c r="B8" s="39">
        <f>SUMIFS(Table5[Expense],Table5[Service Line],"Home Health",Table5[Cost Subcategory],"MILEAGE",Table5[Month],"JANUARY")</f>
        <v>0</v>
      </c>
      <c r="C8" s="39">
        <f>SUMIFS(Table5[Expense],Table5[Service Line],"Home Health",Table5[Cost Subcategory],"MILEAGE",Table5[Month],"FEBRUARY")</f>
        <v>0</v>
      </c>
      <c r="D8" s="39">
        <f>SUMIFS(Table5[Expense],Table5[Service Line],"Home Health",Table5[Cost Subcategory],"MILEAGE",Table5[Month],"MARCH")</f>
        <v>0</v>
      </c>
      <c r="E8" s="39">
        <f>SUMIFS(Table5[Expense],Table5[Service Line],"Home Health",Table5[Cost Subcategory],"MILEAGE",Table5[Month],"APRIL")</f>
        <v>0</v>
      </c>
      <c r="F8" s="39">
        <f>SUMIFS(Table5[Expense],Table5[Service Line],"Home Health",Table5[Cost Subcategory],"MILEAGE",Table5[Month],"MAY")</f>
        <v>0</v>
      </c>
      <c r="G8" s="39">
        <f>SUMIFS(Table5[Expense],Table5[Service Line],"Home Health",Table5[Cost Subcategory],"MILEAGE",Table5[Month],"JUNE")</f>
        <v>0</v>
      </c>
      <c r="H8" s="39">
        <f>SUMIFS(Table5[Expense],Table5[Service Line],"Home Health",Table5[Cost Subcategory],"MILEAGE",Table5[Month],"JULY")</f>
        <v>0</v>
      </c>
      <c r="I8" s="39">
        <f>SUMIFS(Table5[Expense],Table5[Service Line],"Home Health",Table5[Cost Subcategory],"MILEAGE",Table5[Month],"AUGUST")</f>
        <v>0</v>
      </c>
      <c r="J8" s="39">
        <f>SUMIFS(Table5[Expense],Table5[Service Line],"Home Health",Table5[Cost Subcategory],"MILEAGE",Table5[Month],"SEPTEMBER")</f>
        <v>0</v>
      </c>
      <c r="K8" s="39">
        <f>SUMIFS(Table5[Expense],Table5[Service Line],"Home Health",Table5[Cost Subcategory],"MILEAGE",Table5[Month],"OCTOBER")</f>
        <v>0</v>
      </c>
      <c r="L8" s="39">
        <f>SUMIFS(Table5[Expense],Table5[Service Line],"Home Health",Table5[Cost Subcategory],"MILEAGE",Table5[Month],"NOVEMBER")</f>
        <v>0</v>
      </c>
      <c r="M8" s="39">
        <f>SUMIFS(Table5[Expense],Table5[Service Line],"Home Health",Table5[Cost Subcategory],"MILEAGE",Table5[Month],"DECEMBER")</f>
        <v>0</v>
      </c>
      <c r="N8" s="43">
        <f>SUM(D8:M8)</f>
        <v>0</v>
      </c>
      <c r="P8" s="198"/>
    </row>
    <row r="9" spans="1:16" ht="16.5" thickTop="1" thickBot="1" x14ac:dyDescent="0.35">
      <c r="A9" s="24" t="s">
        <v>46</v>
      </c>
      <c r="B9" s="39">
        <f>SUMIFS(Table5[Expense],Table5[Service Line],"Home Health",Table5[Cost Subcategory],"WAGES-CHAPLAIN",Table5[Month],"JANUARY")</f>
        <v>0</v>
      </c>
      <c r="C9" s="39">
        <f>SUMIFS(Table5[Expense],Table5[Service Line],"Home Health",Table5[Cost Subcategory],"WAGES-CHAPLAIN",Table5[Month],"FEBRUARY")</f>
        <v>0</v>
      </c>
      <c r="D9" s="39">
        <f>SUMIFS(Table5[Expense],Table5[Service Line],"Home Health",Table5[Cost Subcategory],"WAGES-CHAPLAIN",Table5[Month],"MARCH")</f>
        <v>0</v>
      </c>
      <c r="E9" s="39">
        <f>SUMIFS(Table5[Expense],Table5[Service Line],"Home Health",Table5[Cost Subcategory],"WAGES-CHAPLAIN",Table5[Month],"APRIL")</f>
        <v>0</v>
      </c>
      <c r="F9" s="39">
        <f>SUMIFS(Table5[Expense],Table5[Service Line],"Home Health",Table5[Cost Subcategory],"WAGES-CHAPLAIN",Table5[Month],"MAY")</f>
        <v>0</v>
      </c>
      <c r="G9" s="39">
        <f>SUMIFS(Table5[Expense],Table5[Service Line],"Home Health",Table5[Cost Subcategory],"WAGES-CHAPLAIN",Table5[Month],"JUNE")</f>
        <v>0</v>
      </c>
      <c r="H9" s="39">
        <f>SUMIFS(Table5[Expense],Table5[Service Line],"Home Health",Table5[Cost Subcategory],"WAGES-CHAPLAIN",Table5[Month],"JULY")</f>
        <v>0</v>
      </c>
      <c r="I9" s="39">
        <f>SUMIFS(Table5[Expense],Table5[Service Line],"Home Health",Table5[Cost Subcategory],"WAGES-CHAPLAIN",Table5[Month],"AUGUST")</f>
        <v>0</v>
      </c>
      <c r="J9" s="39">
        <f>SUMIFS(Table5[Expense],Table5[Service Line],"Home Health",Table5[Cost Subcategory],"WAGES-CHAPLAIN",Table5[Month],"SEPTEMBER")</f>
        <v>0</v>
      </c>
      <c r="K9" s="39">
        <f>SUMIFS(Table5[Expense],Table5[Service Line],"Home Health",Table5[Cost Subcategory],"WAGES-CHAPLAIN",Table5[Month],"OCTOBER")</f>
        <v>0</v>
      </c>
      <c r="L9" s="39">
        <f>SUMIFS(Table5[Expense],Table5[Service Line],"Home Health",Table5[Cost Subcategory],"WAGES-CHAPLAIN",Table5[Month],"NOVEMBER")</f>
        <v>0</v>
      </c>
      <c r="M9" s="39">
        <f>SUMIFS(Table5[Expense],Table5[Service Line],"Home Health",Table5[Cost Subcategory],"WAGES-CHAPLAIN",Table5[Month],"DECEMBER")</f>
        <v>0</v>
      </c>
      <c r="N9" s="43">
        <f t="shared" ref="N9:N21" si="0">SUM(D9:M9)</f>
        <v>0</v>
      </c>
      <c r="P9" s="198"/>
    </row>
    <row r="10" spans="1:16" ht="16.5" thickTop="1" thickBot="1" x14ac:dyDescent="0.35">
      <c r="A10" s="24" t="s">
        <v>24</v>
      </c>
      <c r="B10" s="39">
        <f>SUMIFS(Table5[Expense],Table5[Service Line],"Home Health",Table5[Cost Subcategory],"WAGES-HHA",Table5[Month],"JANUARY")</f>
        <v>0</v>
      </c>
      <c r="C10" s="39">
        <f>SUMIFS(Table5[Expense],Table5[Service Line],"Home Health",Table5[Cost Subcategory],"WAGES-HHA",Table5[Month],"FEBRUARY")</f>
        <v>0</v>
      </c>
      <c r="D10" s="39">
        <f>SUMIFS(Table5[Expense],Table5[Service Line],"Home Health",Table5[Cost Subcategory],"WAGES-HHA",Table5[Month],"MARCH")</f>
        <v>0</v>
      </c>
      <c r="E10" s="39">
        <f>SUMIFS(Table5[Expense],Table5[Service Line],"Home Health",Table5[Cost Subcategory],"WAGES-HHA",Table5[Month],"APRIL")</f>
        <v>0</v>
      </c>
      <c r="F10" s="39">
        <f>SUMIFS(Table5[Expense],Table5[Service Line],"Home Health",Table5[Cost Subcategory],"WAGES-HHA",Table5[Month],"MAY")</f>
        <v>0</v>
      </c>
      <c r="G10" s="39">
        <f>SUMIFS(Table5[Expense],Table5[Service Line],"Home Health",Table5[Cost Subcategory],"WAGES-HHA",Table5[Month],"JUNE")</f>
        <v>0</v>
      </c>
      <c r="H10" s="39">
        <f>SUMIFS(Table5[Expense],Table5[Service Line],"Home Health",Table5[Cost Subcategory],"WAGES-HHA",Table5[Month],"JULY")</f>
        <v>0</v>
      </c>
      <c r="I10" s="39">
        <f>SUMIFS(Table5[Expense],Table5[Service Line],"Home Health",Table5[Cost Subcategory],"WAGES-HHA",Table5[Month],"AUGUST")</f>
        <v>0</v>
      </c>
      <c r="J10" s="39">
        <f>SUMIFS(Table5[Expense],Table5[Service Line],"Home Health",Table5[Cost Subcategory],"WAGES-HHA",Table5[Month],"SEPTEMBER")</f>
        <v>0</v>
      </c>
      <c r="K10" s="39">
        <f>SUMIFS(Table5[Expense],Table5[Service Line],"Home Health",Table5[Cost Subcategory],"WAGES-HHA",Table5[Month],"OCTOBER")</f>
        <v>0</v>
      </c>
      <c r="L10" s="39">
        <f>SUMIFS(Table5[Expense],Table5[Service Line],"Home Health",Table5[Cost Subcategory],"WAGES-HHA",Table5[Month],"NOVEMBER")</f>
        <v>0</v>
      </c>
      <c r="M10" s="39">
        <f>SUMIFS(Table5[Expense],Table5[Service Line],"Home Health",Table5[Cost Subcategory],"WAGES-HHA",Table5[Month],"DECEMBER")</f>
        <v>0</v>
      </c>
      <c r="N10" s="43">
        <f t="shared" si="0"/>
        <v>0</v>
      </c>
      <c r="P10" s="198"/>
    </row>
    <row r="11" spans="1:16" ht="16.5" thickTop="1" thickBot="1" x14ac:dyDescent="0.35">
      <c r="A11" s="24" t="s">
        <v>29</v>
      </c>
      <c r="B11" s="39">
        <f>SUMIFS(Table5[Expense],Table5[Service Line],"Home Health",Table5[Cost Subcategory],"WAGES-RN",Table5[Month],"JANUARY")</f>
        <v>0</v>
      </c>
      <c r="C11" s="39">
        <f>SUMIFS(Table5[Expense],Table5[Service Line],"Home Health",Table5[Cost Subcategory],"WAGES-RN",Table5[Month],"FEBRUARY")</f>
        <v>0</v>
      </c>
      <c r="D11" s="39">
        <f>SUMIFS(Table5[Expense],Table5[Service Line],"Home Health",Table5[Cost Subcategory],"WAGES-RN",Table5[Month],"MARCH")</f>
        <v>0</v>
      </c>
      <c r="E11" s="39">
        <f>SUMIFS(Table5[Expense],Table5[Service Line],"Home Health",Table5[Cost Subcategory],"WAGES-RN",Table5[Month],"APRIL")</f>
        <v>0</v>
      </c>
      <c r="F11" s="39">
        <f>SUMIFS(Table5[Expense],Table5[Service Line],"Home Health",Table5[Cost Subcategory],"WAGES-RN",Table5[Month],"MAY")</f>
        <v>0</v>
      </c>
      <c r="G11" s="39">
        <f>SUMIFS(Table5[Expense],Table5[Service Line],"Home Health",Table5[Cost Subcategory],"WAGES-RN",Table5[Month],"JUNE")</f>
        <v>0</v>
      </c>
      <c r="H11" s="39">
        <f>SUMIFS(Table5[Expense],Table5[Service Line],"Home Health",Table5[Cost Subcategory],"WAGES-RN",Table5[Month],"JULY")</f>
        <v>0</v>
      </c>
      <c r="I11" s="39">
        <f>SUMIFS(Table5[Expense],Table5[Service Line],"Home Health",Table5[Cost Subcategory],"WAGES-RN",Table5[Month],"AUGUST")</f>
        <v>0</v>
      </c>
      <c r="J11" s="39">
        <f>SUMIFS(Table5[Expense],Table5[Service Line],"Home Health",Table5[Cost Subcategory],"WAGES-RN",Table5[Month],"SEPTEMBER")</f>
        <v>0</v>
      </c>
      <c r="K11" s="39">
        <f>SUMIFS(Table5[Expense],Table5[Service Line],"Home Health",Table5[Cost Subcategory],"WAGES-RN",Table5[Month],"OCTOBER")</f>
        <v>0</v>
      </c>
      <c r="L11" s="39">
        <f>SUMIFS(Table5[Expense],Table5[Service Line],"Home Health",Table5[Cost Subcategory],"WAGES-RN",Table5[Month],"NOVEMBER")</f>
        <v>0</v>
      </c>
      <c r="M11" s="39">
        <f>SUMIFS(Table5[Expense],Table5[Service Line],"Home Health",Table5[Cost Subcategory],"WAGES-RN",Table5[Month],"DECEMBER")</f>
        <v>0</v>
      </c>
      <c r="N11" s="43">
        <f t="shared" si="0"/>
        <v>0</v>
      </c>
      <c r="P11" s="198"/>
    </row>
    <row r="12" spans="1:16" ht="16.5" thickTop="1" thickBot="1" x14ac:dyDescent="0.35">
      <c r="A12" s="24" t="s">
        <v>28</v>
      </c>
      <c r="B12" s="39">
        <f>SUMIFS(Table5[Expense],Table5[Service Line],"Home Health",Table5[Cost Subcategory],"WAGES-RN",Table5[Month],"JANUARY")</f>
        <v>0</v>
      </c>
      <c r="C12" s="39">
        <f>SUMIFS(Table5[Expense],Table5[Service Line],"Home Health",Table5[Cost Subcategory],"WAGES-RN",Table5[Month],"FEBRUARY")</f>
        <v>0</v>
      </c>
      <c r="D12" s="39">
        <f>SUMIFS(Table5[Expense],Table5[Service Line],"Home Health",Table5[Cost Subcategory],"WAGES-RN",Table5[Month],"MARCH")</f>
        <v>0</v>
      </c>
      <c r="E12" s="39">
        <f>SUMIFS(Table5[Expense],Table5[Service Line],"Home Health",Table5[Cost Subcategory],"WAGES-RN",Table5[Month],"APRIL")</f>
        <v>0</v>
      </c>
      <c r="F12" s="39">
        <f>SUMIFS(Table5[Expense],Table5[Service Line],"Home Health",Table5[Cost Subcategory],"WAGES-RN",Table5[Month],"MAY")</f>
        <v>0</v>
      </c>
      <c r="G12" s="39">
        <f>SUMIFS(Table5[Expense],Table5[Service Line],"Home Health",Table5[Cost Subcategory],"WAGES-RN",Table5[Month],"JUNE")</f>
        <v>0</v>
      </c>
      <c r="H12" s="39">
        <f>SUMIFS(Table5[Expense],Table5[Service Line],"Home Health",Table5[Cost Subcategory],"WAGES-RN",Table5[Month],"JULY")</f>
        <v>0</v>
      </c>
      <c r="I12" s="39">
        <f>SUMIFS(Table5[Expense],Table5[Service Line],"Home Health",Table5[Cost Subcategory],"WAGES-RN",Table5[Month],"AUGUST")</f>
        <v>0</v>
      </c>
      <c r="J12" s="39">
        <f>SUMIFS(Table5[Expense],Table5[Service Line],"Home Health",Table5[Cost Subcategory],"WAGES-RN",Table5[Month],"SEPTEMBER")</f>
        <v>0</v>
      </c>
      <c r="K12" s="39">
        <f>SUMIFS(Table5[Expense],Table5[Service Line],"Home Health",Table5[Cost Subcategory],"WAGES-RN",Table5[Month],"OCTOBER")</f>
        <v>0</v>
      </c>
      <c r="L12" s="39">
        <f>SUMIFS(Table5[Expense],Table5[Service Line],"Home Health",Table5[Cost Subcategory],"WAGES-RN",Table5[Month],"NOVEMBER")</f>
        <v>0</v>
      </c>
      <c r="M12" s="39">
        <f>SUMIFS(Table5[Expense],Table5[Service Line],"Home Health",Table5[Cost Subcategory],"WAGES-RN",Table5[Month],"DECEMBER")</f>
        <v>0</v>
      </c>
      <c r="N12" s="43">
        <f>SUM(D12:M12)</f>
        <v>0</v>
      </c>
      <c r="P12" s="198"/>
    </row>
    <row r="13" spans="1:16" ht="16.5" thickTop="1" thickBot="1" x14ac:dyDescent="0.35">
      <c r="A13" s="24" t="s">
        <v>25</v>
      </c>
      <c r="B13" s="39">
        <f>SUMIFS(Table5[Expense],Table5[Service Line],"Home Health",Table5[Cost Subcategory],"WAGES-MSW",Table5[Month],"JANUARY")</f>
        <v>0</v>
      </c>
      <c r="C13" s="39">
        <f>SUMIFS(Table5[Expense],Table5[Service Line],"Home Health",Table5[Cost Subcategory],"WAGES-MSW",Table5[Month],"FEBRUARY")</f>
        <v>0</v>
      </c>
      <c r="D13" s="39">
        <f>SUMIFS(Table5[Expense],Table5[Service Line],"Home Health",Table5[Cost Subcategory],"WAGES-MSW",Table5[Month],"MARCH")</f>
        <v>0</v>
      </c>
      <c r="E13" s="39">
        <f>SUMIFS(Table5[Expense],Table5[Service Line],"Home Health",Table5[Cost Subcategory],"WAGES-MSW",Table5[Month],"APRIL")</f>
        <v>0</v>
      </c>
      <c r="F13" s="39">
        <f>SUMIFS(Table5[Expense],Table5[Service Line],"Home Health",Table5[Cost Subcategory],"WAGES-MSW",Table5[Month],"MAY")</f>
        <v>0</v>
      </c>
      <c r="G13" s="39">
        <f>SUMIFS(Table5[Expense],Table5[Service Line],"Home Health",Table5[Cost Subcategory],"WAGES-MSW",Table5[Month],"JUNE")</f>
        <v>0</v>
      </c>
      <c r="H13" s="39">
        <f>SUMIFS(Table5[Expense],Table5[Service Line],"Home Health",Table5[Cost Subcategory],"WAGES-MSW",Table5[Month],"JULY")</f>
        <v>0</v>
      </c>
      <c r="I13" s="39">
        <f>SUMIFS(Table5[Expense],Table5[Service Line],"Home Health",Table5[Cost Subcategory],"WAGES-MSW",Table5[Month],"AUGUST")</f>
        <v>0</v>
      </c>
      <c r="J13" s="39">
        <f>SUMIFS(Table5[Expense],Table5[Service Line],"Home Health",Table5[Cost Subcategory],"WAGES-MSW",Table5[Month],"SEPTEMBER")</f>
        <v>0</v>
      </c>
      <c r="K13" s="39">
        <f>SUMIFS(Table5[Expense],Table5[Service Line],"Home Health",Table5[Cost Subcategory],"WAGES-MSW",Table5[Month],"OCTOBER")</f>
        <v>0</v>
      </c>
      <c r="L13" s="39">
        <f>SUMIFS(Table5[Expense],Table5[Service Line],"Home Health",Table5[Cost Subcategory],"WAGES-MSW",Table5[Month],"NOVEMBER")</f>
        <v>0</v>
      </c>
      <c r="M13" s="39">
        <f>SUMIFS(Table5[Expense],Table5[Service Line],"Home Health",Table5[Cost Subcategory],"WAGES-MSW",Table5[Month],"DECEMBER")</f>
        <v>0</v>
      </c>
      <c r="N13" s="43">
        <f t="shared" si="0"/>
        <v>0</v>
      </c>
      <c r="P13" s="198"/>
    </row>
    <row r="14" spans="1:16" ht="16.5" thickTop="1" thickBot="1" x14ac:dyDescent="0.35">
      <c r="A14" s="24" t="s">
        <v>32</v>
      </c>
      <c r="B14" s="39">
        <f>SUMIFS(Table5[Expense],Table5[Service Line],"Home Health",Table5[Cost Subcategory],"WAGES-OT",Table5[Month],"JANUARY")</f>
        <v>0</v>
      </c>
      <c r="C14" s="39">
        <f>SUMIFS(Table5[Expense],Table5[Service Line],"Home Health",Table5[Cost Subcategory],"WAGES-OT",Table5[Month],"FEBRUARY")</f>
        <v>0</v>
      </c>
      <c r="D14" s="39">
        <f>SUMIFS(Table5[Expense],Table5[Service Line],"Home Health",Table5[Cost Subcategory],"WAGES-OT",Table5[Month],"MARCH")</f>
        <v>0</v>
      </c>
      <c r="E14" s="39">
        <f>SUMIFS(Table5[Expense],Table5[Service Line],"Home Health",Table5[Cost Subcategory],"WAGES-OT",Table5[Month],"APRIL")</f>
        <v>0</v>
      </c>
      <c r="F14" s="39">
        <f>SUMIFS(Table5[Expense],Table5[Service Line],"Home Health",Table5[Cost Subcategory],"WAGES-OT",Table5[Month],"MAY")</f>
        <v>0</v>
      </c>
      <c r="G14" s="39">
        <f>SUMIFS(Table5[Expense],Table5[Service Line],"Home Health",Table5[Cost Subcategory],"WAGES-OT",Table5[Month],"JUNE")</f>
        <v>0</v>
      </c>
      <c r="H14" s="39">
        <f>SUMIFS(Table5[Expense],Table5[Service Line],"Home Health",Table5[Cost Subcategory],"WAGES-OT",Table5[Month],"JULY")</f>
        <v>0</v>
      </c>
      <c r="I14" s="39">
        <f>SUMIFS(Table5[Expense],Table5[Service Line],"Home Health",Table5[Cost Subcategory],"WAGES-OT",Table5[Month],"AUGUST")</f>
        <v>0</v>
      </c>
      <c r="J14" s="39">
        <f>SUMIFS(Table5[Expense],Table5[Service Line],"Home Health",Table5[Cost Subcategory],"WAGES-OT",Table5[Month],"SEPTEMBER")</f>
        <v>0</v>
      </c>
      <c r="K14" s="39">
        <f>SUMIFS(Table5[Expense],Table5[Service Line],"Home Health",Table5[Cost Subcategory],"WAGES-OT",Table5[Month],"OCTOBER")</f>
        <v>0</v>
      </c>
      <c r="L14" s="39">
        <f>SUMIFS(Table5[Expense],Table5[Service Line],"Home Health",Table5[Cost Subcategory],"WAGES-OT",Table5[Month],"NOVEMBER")</f>
        <v>0</v>
      </c>
      <c r="M14" s="39">
        <f>SUMIFS(Table5[Expense],Table5[Service Line],"Home Health",Table5[Cost Subcategory],"WAGES-OT",Table5[Month],"DECEMBER")</f>
        <v>0</v>
      </c>
      <c r="N14" s="43">
        <f t="shared" si="0"/>
        <v>0</v>
      </c>
      <c r="P14" s="198"/>
    </row>
    <row r="15" spans="1:16" ht="16.5" thickTop="1" thickBot="1" x14ac:dyDescent="0.35">
      <c r="A15" s="24" t="s">
        <v>33</v>
      </c>
      <c r="B15" s="39">
        <f>SUMIFS(Table5[Expense],Table5[Service Line],"Home Health",Table5[Cost Subcategory],"WAGES-OTA",Table5[Month],"JANUARY")</f>
        <v>0</v>
      </c>
      <c r="C15" s="39">
        <f>SUMIFS(Table5[Expense],Table5[Service Line],"Home Health",Table5[Cost Subcategory],"WAGES-OTA",Table5[Month],"FEBRUARY")</f>
        <v>0</v>
      </c>
      <c r="D15" s="39">
        <f>SUMIFS(Table5[Expense],Table5[Service Line],"Home Health",Table5[Cost Subcategory],"WAGES-OTA",Table5[Month],"MARCH")</f>
        <v>0</v>
      </c>
      <c r="E15" s="39">
        <f>SUMIFS(Table5[Expense],Table5[Service Line],"Home Health",Table5[Cost Subcategory],"WAGES-OTA",Table5[Month],"APRIL")</f>
        <v>0</v>
      </c>
      <c r="F15" s="39">
        <f>SUMIFS(Table5[Expense],Table5[Service Line],"Home Health",Table5[Cost Subcategory],"WAGES-OTA",Table5[Month],"MAY")</f>
        <v>0</v>
      </c>
      <c r="G15" s="39">
        <f>SUMIFS(Table5[Expense],Table5[Service Line],"Home Health",Table5[Cost Subcategory],"WAGES-OTA",Table5[Month],"JUNE")</f>
        <v>0</v>
      </c>
      <c r="H15" s="39">
        <f>SUMIFS(Table5[Expense],Table5[Service Line],"Home Health",Table5[Cost Subcategory],"WAGES-OTA",Table5[Month],"JULY")</f>
        <v>0</v>
      </c>
      <c r="I15" s="39">
        <f>SUMIFS(Table5[Expense],Table5[Service Line],"Home Health",Table5[Cost Subcategory],"WAGES-OTA",Table5[Month],"AUGUST")</f>
        <v>0</v>
      </c>
      <c r="J15" s="39">
        <f>SUMIFS(Table5[Expense],Table5[Service Line],"Home Health",Table5[Cost Subcategory],"WAGES-OTA",Table5[Month],"SEPTEMBER")</f>
        <v>0</v>
      </c>
      <c r="K15" s="39">
        <f>SUMIFS(Table5[Expense],Table5[Service Line],"Home Health",Table5[Cost Subcategory],"WAGES-OTA",Table5[Month],"OCTOBER")</f>
        <v>0</v>
      </c>
      <c r="L15" s="39">
        <f>SUMIFS(Table5[Expense],Table5[Service Line],"Home Health",Table5[Cost Subcategory],"WAGES-OTA",Table5[Month],"NOVEMBER")</f>
        <v>0</v>
      </c>
      <c r="M15" s="39">
        <f>SUMIFS(Table5[Expense],Table5[Service Line],"Home Health",Table5[Cost Subcategory],"WAGES-OTA",Table5[Month],"DECEMBER")</f>
        <v>0</v>
      </c>
      <c r="N15" s="43">
        <f t="shared" si="0"/>
        <v>0</v>
      </c>
      <c r="P15" s="198"/>
    </row>
    <row r="16" spans="1:16" ht="16.5" thickTop="1" thickBot="1" x14ac:dyDescent="0.35">
      <c r="A16" s="24" t="s">
        <v>30</v>
      </c>
      <c r="B16" s="39">
        <f>SUMIFS(Table5[Expense],Table5[Service Line],"Home Health",Table5[Cost Subcategory],"WAGES-PT",Table5[Month],"JANUARY")</f>
        <v>0</v>
      </c>
      <c r="C16" s="39">
        <f>SUMIFS(Table5[Expense],Table5[Service Line],"Home Health",Table5[Cost Subcategory],"WAGES-PT",Table5[Month],"FEBRUARY")</f>
        <v>0</v>
      </c>
      <c r="D16" s="39">
        <f>SUMIFS(Table5[Expense],Table5[Service Line],"Home Health",Table5[Cost Subcategory],"WAGES-PT",Table5[Month],"MARCH")</f>
        <v>0</v>
      </c>
      <c r="E16" s="39">
        <f>SUMIFS(Table5[Expense],Table5[Service Line],"Home Health",Table5[Cost Subcategory],"WAGES-PT",Table5[Month],"APRIL")</f>
        <v>0</v>
      </c>
      <c r="F16" s="39">
        <f>SUMIFS(Table5[Expense],Table5[Service Line],"Home Health",Table5[Cost Subcategory],"WAGES-PT",Table5[Month],"MAY")</f>
        <v>0</v>
      </c>
      <c r="G16" s="39">
        <f>SUMIFS(Table5[Expense],Table5[Service Line],"Home Health",Table5[Cost Subcategory],"WAGES-PT",Table5[Month],"JUNE")</f>
        <v>0</v>
      </c>
      <c r="H16" s="39">
        <f>SUMIFS(Table5[Expense],Table5[Service Line],"Home Health",Table5[Cost Subcategory],"WAGES-PT",Table5[Month],"JULY")</f>
        <v>0</v>
      </c>
      <c r="I16" s="39">
        <f>SUMIFS(Table5[Expense],Table5[Service Line],"Home Health",Table5[Cost Subcategory],"WAGES-PT",Table5[Month],"AUGUST")</f>
        <v>0</v>
      </c>
      <c r="J16" s="39">
        <f>SUMIFS(Table5[Expense],Table5[Service Line],"Home Health",Table5[Cost Subcategory],"WAGES-PT",Table5[Month],"SEPTEMBER")</f>
        <v>0</v>
      </c>
      <c r="K16" s="39">
        <f>SUMIFS(Table5[Expense],Table5[Service Line],"Home Health",Table5[Cost Subcategory],"WAGES-PT",Table5[Month],"OCTOBER")</f>
        <v>0</v>
      </c>
      <c r="L16" s="39">
        <f>SUMIFS(Table5[Expense],Table5[Service Line],"Home Health",Table5[Cost Subcategory],"WAGES-PT",Table5[Month],"NOVEMBER")</f>
        <v>0</v>
      </c>
      <c r="M16" s="39">
        <f>SUMIFS(Table5[Expense],Table5[Service Line],"Home Health",Table5[Cost Subcategory],"WAGES-PT",Table5[Month],"DECEMBER")</f>
        <v>0</v>
      </c>
      <c r="N16" s="43">
        <f t="shared" si="0"/>
        <v>0</v>
      </c>
      <c r="P16" s="198"/>
    </row>
    <row r="17" spans="1:16" ht="16.5" thickTop="1" thickBot="1" x14ac:dyDescent="0.35">
      <c r="A17" s="24" t="s">
        <v>31</v>
      </c>
      <c r="B17" s="39">
        <f>SUMIFS(Table5[Expense],Table5[Service Line],"Home Health",Table5[Cost Subcategory],"WAGES-PTA",Table5[Month],"JANUARY")</f>
        <v>0</v>
      </c>
      <c r="C17" s="39">
        <f>SUMIFS(Table5[Expense],Table5[Service Line],"Home Health",Table5[Cost Subcategory],"WAGES-PTA",Table5[Month],"FEBRUARY")</f>
        <v>0</v>
      </c>
      <c r="D17" s="39">
        <f>SUMIFS(Table5[Expense],Table5[Service Line],"Home Health",Table5[Cost Subcategory],"WAGES-PTA",Table5[Month],"MARCH")</f>
        <v>0</v>
      </c>
      <c r="E17" s="39">
        <f>SUMIFS(Table5[Expense],Table5[Service Line],"Home Health",Table5[Cost Subcategory],"WAGES-PTA",Table5[Month],"APRIL")</f>
        <v>0</v>
      </c>
      <c r="F17" s="39">
        <f>SUMIFS(Table5[Expense],Table5[Service Line],"Home Health",Table5[Cost Subcategory],"WAGES-PTA",Table5[Month],"MAY")</f>
        <v>0</v>
      </c>
      <c r="G17" s="39">
        <f>SUMIFS(Table5[Expense],Table5[Service Line],"Home Health",Table5[Cost Subcategory],"WAGES-PTA",Table5[Month],"JUNE")</f>
        <v>0</v>
      </c>
      <c r="H17" s="39">
        <f>SUMIFS(Table5[Expense],Table5[Service Line],"Home Health",Table5[Cost Subcategory],"WAGES-PTA",Table5[Month],"JULY")</f>
        <v>0</v>
      </c>
      <c r="I17" s="39">
        <f>SUMIFS(Table5[Expense],Table5[Service Line],"Home Health",Table5[Cost Subcategory],"WAGES-PTA",Table5[Month],"AUGUST")</f>
        <v>0</v>
      </c>
      <c r="J17" s="39">
        <f>SUMIFS(Table5[Expense],Table5[Service Line],"Home Health",Table5[Cost Subcategory],"WAGES-PTA",Table5[Month],"SEPTEMBER")</f>
        <v>0</v>
      </c>
      <c r="K17" s="39">
        <f>SUMIFS(Table5[Expense],Table5[Service Line],"Home Health",Table5[Cost Subcategory],"WAGES-PTA",Table5[Month],"OCTOBER")</f>
        <v>0</v>
      </c>
      <c r="L17" s="39">
        <f>SUMIFS(Table5[Expense],Table5[Service Line],"Home Health",Table5[Cost Subcategory],"WAGES-PTA",Table5[Month],"NOVEMBER")</f>
        <v>0</v>
      </c>
      <c r="M17" s="39">
        <f>SUMIFS(Table5[Expense],Table5[Service Line],"Home Health",Table5[Cost Subcategory],"WAGES-PTA",Table5[Month],"DECEMBER")</f>
        <v>0</v>
      </c>
      <c r="N17" s="43">
        <f t="shared" si="0"/>
        <v>0</v>
      </c>
      <c r="P17" s="198"/>
    </row>
    <row r="18" spans="1:16" ht="16.5" thickTop="1" thickBot="1" x14ac:dyDescent="0.35">
      <c r="A18" s="24" t="s">
        <v>26</v>
      </c>
      <c r="B18" s="39">
        <f>SUMIFS(Table5[Expense],Table5[Service Line],"Home Health",Table5[Cost Subcategory],"WAGES-ST",Table5[Month],"JANUARY")</f>
        <v>0</v>
      </c>
      <c r="C18" s="39">
        <f>SUMIFS(Table5[Expense],Table5[Service Line],"Home Health",Table5[Cost Subcategory],"WAGES-ST",Table5[Month],"FEBRUARY")</f>
        <v>0</v>
      </c>
      <c r="D18" s="39">
        <f>SUMIFS(Table5[Expense],Table5[Service Line],"Home Health",Table5[Cost Subcategory],"WAGES-ST",Table5[Month],"MARCH")</f>
        <v>0</v>
      </c>
      <c r="E18" s="39">
        <f>SUMIFS(Table5[Expense],Table5[Service Line],"Home Health",Table5[Cost Subcategory],"WAGES-ST",Table5[Month],"APRIL")</f>
        <v>0</v>
      </c>
      <c r="F18" s="39">
        <f>SUMIFS(Table5[Expense],Table5[Service Line],"Home Health",Table5[Cost Subcategory],"WAGES-ST",Table5[Month],"MAY")</f>
        <v>0</v>
      </c>
      <c r="G18" s="39">
        <f>SUMIFS(Table5[Expense],Table5[Service Line],"Home Health",Table5[Cost Subcategory],"WAGES-ST",Table5[Month],"JUNE")</f>
        <v>0</v>
      </c>
      <c r="H18" s="39">
        <f>SUMIFS(Table5[Expense],Table5[Service Line],"Home Health",Table5[Cost Subcategory],"WAGES-ST",Table5[Month],"JULY")</f>
        <v>0</v>
      </c>
      <c r="I18" s="39">
        <f>SUMIFS(Table5[Expense],Table5[Service Line],"Home Health",Table5[Cost Subcategory],"WAGES-ST",Table5[Month],"AUGUST")</f>
        <v>0</v>
      </c>
      <c r="J18" s="39">
        <f>SUMIFS(Table5[Expense],Table5[Service Line],"Home Health",Table5[Cost Subcategory],"WAGES-ST",Table5[Month],"SEPTEMBER")</f>
        <v>0</v>
      </c>
      <c r="K18" s="39">
        <f>SUMIFS(Table5[Expense],Table5[Service Line],"Home Health",Table5[Cost Subcategory],"WAGES-ST",Table5[Month],"OCTOBER")</f>
        <v>0</v>
      </c>
      <c r="L18" s="39">
        <f>SUMIFS(Table5[Expense],Table5[Service Line],"Home Health",Table5[Cost Subcategory],"WAGES-ST",Table5[Month],"NOVEMBER")</f>
        <v>0</v>
      </c>
      <c r="M18" s="39">
        <f>SUMIFS(Table5[Expense],Table5[Service Line],"Home Health",Table5[Cost Subcategory],"WAGES-ST",Table5[Month],"DECEMBER")</f>
        <v>0</v>
      </c>
      <c r="N18" s="43">
        <f t="shared" si="0"/>
        <v>0</v>
      </c>
      <c r="P18" s="198"/>
    </row>
    <row r="19" spans="1:16" ht="16.5" thickTop="1" thickBot="1" x14ac:dyDescent="0.35">
      <c r="A19" s="24" t="s">
        <v>55</v>
      </c>
      <c r="B19" s="39">
        <f>SUMIFS(Table5[Expense],Table5[Service Line],"Home Health",Table5[Cost Subcategory],"WAGES-NP",Table5[Month],"JANUARY")</f>
        <v>0</v>
      </c>
      <c r="C19" s="39">
        <f>SUMIFS(Table5[Expense],Table5[Service Line],"Home Health",Table5[Cost Subcategory],"WAGES-NP",Table5[Month],"FEBRUARY")</f>
        <v>0</v>
      </c>
      <c r="D19" s="39">
        <f>SUMIFS(Table5[Expense],Table5[Service Line],"Home Health",Table5[Cost Subcategory],"WAGES-NP",Table5[Month],"MARCH")</f>
        <v>0</v>
      </c>
      <c r="E19" s="39">
        <f>SUMIFS(Table5[Expense],Table5[Service Line],"Home Health",Table5[Cost Subcategory],"WAGES-NP",Table5[Month],"APRIL")</f>
        <v>0</v>
      </c>
      <c r="F19" s="39">
        <f>SUMIFS(Table5[Expense],Table5[Service Line],"Home Health",Table5[Cost Subcategory],"WAGES-NP",Table5[Month],"MAY")</f>
        <v>0</v>
      </c>
      <c r="G19" s="39">
        <f>SUMIFS(Table5[Expense],Table5[Service Line],"Home Health",Table5[Cost Subcategory],"WAGES-NP",Table5[Month],"JUNE")</f>
        <v>0</v>
      </c>
      <c r="H19" s="39">
        <f>SUMIFS(Table5[Expense],Table5[Service Line],"Home Health",Table5[Cost Subcategory],"WAGES-NP",Table5[Month],"JULY")</f>
        <v>0</v>
      </c>
      <c r="I19" s="39">
        <f>SUMIFS(Table5[Expense],Table5[Service Line],"Home Health",Table5[Cost Subcategory],"WAGES-NP",Table5[Month],"AUGUST")</f>
        <v>0</v>
      </c>
      <c r="J19" s="39">
        <f>SUMIFS(Table5[Expense],Table5[Service Line],"Home Health",Table5[Cost Subcategory],"WAGES-NP",Table5[Month],"SEPTEMBER")</f>
        <v>0</v>
      </c>
      <c r="K19" s="39">
        <f>SUMIFS(Table5[Expense],Table5[Service Line],"Home Health",Table5[Cost Subcategory],"WAGES-NP",Table5[Month],"OCTOBER")</f>
        <v>0</v>
      </c>
      <c r="L19" s="39">
        <f>SUMIFS(Table5[Expense],Table5[Service Line],"Home Health",Table5[Cost Subcategory],"WAGES-NP",Table5[Month],"NOVEMBER")</f>
        <v>0</v>
      </c>
      <c r="M19" s="39">
        <f>SUMIFS(Table5[Expense],Table5[Service Line],"Home Health",Table5[Cost Subcategory],"WAGES-NP",Table5[Month],"DECEMBER")</f>
        <v>0</v>
      </c>
      <c r="N19" s="43">
        <f>SUM(D19:M19)</f>
        <v>0</v>
      </c>
      <c r="P19" s="198"/>
    </row>
    <row r="20" spans="1:16" ht="16.5" thickTop="1" thickBot="1" x14ac:dyDescent="0.35">
      <c r="A20" s="24" t="s">
        <v>54</v>
      </c>
      <c r="B20" s="39">
        <f>SUMIFS(Table5[Expense],Table5[Service Line],"Home Health",Table5[Cost Subcategory],"WAGES-PHYSICIAN",Table5[Month],"JANUARY")</f>
        <v>0</v>
      </c>
      <c r="C20" s="39">
        <f>SUMIFS(Table5[Expense],Table5[Service Line],"Home Health",Table5[Cost Subcategory],"WAGES-PHYSICIAN",Table5[Month],"FEBRUARY")</f>
        <v>0</v>
      </c>
      <c r="D20" s="39">
        <f>SUMIFS(Table5[Expense],Table5[Service Line],"Home Health",Table5[Cost Subcategory],"WAGES-PHYSICIAN",Table5[Month],"MARCH")</f>
        <v>0</v>
      </c>
      <c r="E20" s="39">
        <f>SUMIFS(Table5[Expense],Table5[Service Line],"Home Health",Table5[Cost Subcategory],"WAGES-PHYSICIAN",Table5[Month],"APRIL")</f>
        <v>0</v>
      </c>
      <c r="F20" s="39">
        <f>SUMIFS(Table5[Expense],Table5[Service Line],"Home Health",Table5[Cost Subcategory],"WAGES-PHYSICIAN",Table5[Month],"MAY")</f>
        <v>0</v>
      </c>
      <c r="G20" s="39">
        <f>SUMIFS(Table5[Expense],Table5[Service Line],"Home Health",Table5[Cost Subcategory],"WAGES-PHYSICIAN",Table5[Month],"JUNE")</f>
        <v>0</v>
      </c>
      <c r="H20" s="39">
        <f>SUMIFS(Table5[Expense],Table5[Service Line],"Home Health",Table5[Cost Subcategory],"WAGES-PHYSICIAN",Table5[Month],"JULY")</f>
        <v>0</v>
      </c>
      <c r="I20" s="39">
        <f>SUMIFS(Table5[Expense],Table5[Service Line],"Home Health",Table5[Cost Subcategory],"WAGES-PHYSICIAN",Table5[Month],"AUGUST")</f>
        <v>0</v>
      </c>
      <c r="J20" s="39">
        <f>SUMIFS(Table5[Expense],Table5[Service Line],"Home Health",Table5[Cost Subcategory],"WAGES-PHYSICIAN",Table5[Month],"SEPTEMBER")</f>
        <v>0</v>
      </c>
      <c r="K20" s="39">
        <f>SUMIFS(Table5[Expense],Table5[Service Line],"Home Health",Table5[Cost Subcategory],"WAGES-PHYSICIAN",Table5[Month],"OCTOBER")</f>
        <v>0</v>
      </c>
      <c r="L20" s="39">
        <f>SUMIFS(Table5[Expense],Table5[Service Line],"Home Health",Table5[Cost Subcategory],"WAGES-PHYSICIAN",Table5[Month],"NOVEMBER")</f>
        <v>0</v>
      </c>
      <c r="M20" s="39">
        <f>SUMIFS(Table5[Expense],Table5[Service Line],"Home Health",Table5[Cost Subcategory],"WAGES-PHYSICIAN",Table5[Month],"DECEMBER")</f>
        <v>0</v>
      </c>
      <c r="N20" s="43">
        <f>SUM(D20:M20)</f>
        <v>0</v>
      </c>
      <c r="P20" s="198"/>
    </row>
    <row r="21" spans="1:16" ht="16.5" thickTop="1" thickBot="1" x14ac:dyDescent="0.35">
      <c r="A21" s="24" t="s">
        <v>44</v>
      </c>
      <c r="B21" s="39">
        <f>SUMIFS(Table5[Expense],Table5[Service Line],"Home Health",Table5[Cost Subcategory],"OTHER DIRECT",Table5[Month],"JANUARY")</f>
        <v>0</v>
      </c>
      <c r="C21" s="39">
        <f>SUMIFS(Table5[Expense],Table5[Service Line],"Home Health",Table5[Cost Subcategory],"OTHER DIRECT",Table5[Month],"FEBRUARY")</f>
        <v>0</v>
      </c>
      <c r="D21" s="39">
        <f>SUMIFS(Table5[Expense],Table5[Service Line],"Home Health",Table5[Cost Subcategory],"OTHER DIRECT",Table5[Month],"MARCH")</f>
        <v>0</v>
      </c>
      <c r="E21" s="39">
        <f>SUMIFS(Table5[Expense],Table5[Service Line],"Home Health",Table5[Cost Subcategory],"OTHER DIRECT",Table5[Month],"APRIL")</f>
        <v>0</v>
      </c>
      <c r="F21" s="39">
        <f>SUMIFS(Table5[Expense],Table5[Service Line],"Home Health",Table5[Cost Subcategory],"OTHER DIRECT",Table5[Month],"MAY")</f>
        <v>0</v>
      </c>
      <c r="G21" s="39">
        <f>SUMIFS(Table5[Expense],Table5[Service Line],"Home Health",Table5[Cost Subcategory],"OTHER DIRECT",Table5[Month],"JUNE")</f>
        <v>0</v>
      </c>
      <c r="H21" s="39">
        <f>SUMIFS(Table5[Expense],Table5[Service Line],"Home Health",Table5[Cost Subcategory],"OTHER DIRECT",Table5[Month],"JULY")</f>
        <v>0</v>
      </c>
      <c r="I21" s="39">
        <f>SUMIFS(Table5[Expense],Table5[Service Line],"Home Health",Table5[Cost Subcategory],"OTHER DIRECT",Table5[Month],"AUGUST")</f>
        <v>0</v>
      </c>
      <c r="J21" s="39">
        <f>SUMIFS(Table5[Expense],Table5[Service Line],"Home Health",Table5[Cost Subcategory],"OTHER DIRECT",Table5[Month],"SEPTEMBER")</f>
        <v>0</v>
      </c>
      <c r="K21" s="39">
        <f>SUMIFS(Table5[Expense],Table5[Service Line],"Home Health",Table5[Cost Subcategory],"OTHER DIRECT",Table5[Month],"OCTOBER")</f>
        <v>0</v>
      </c>
      <c r="L21" s="39">
        <f>SUMIFS(Table5[Expense],Table5[Service Line],"Home Health",Table5[Cost Subcategory],"OTHER DIRECT",Table5[Month],"NOVEMBER")</f>
        <v>0</v>
      </c>
      <c r="M21" s="39">
        <f>SUMIFS(Table5[Expense],Table5[Service Line],"Home Health",Table5[Cost Subcategory],"OTHER DIRECT",Table5[Month],"DECEMBER")</f>
        <v>0</v>
      </c>
      <c r="N21" s="43">
        <f t="shared" si="0"/>
        <v>0</v>
      </c>
      <c r="P21" s="198"/>
    </row>
    <row r="22" spans="1:16" ht="16.5" thickTop="1" thickBot="1" x14ac:dyDescent="0.35">
      <c r="A22" s="23" t="s">
        <v>89</v>
      </c>
      <c r="B22" s="28">
        <f t="shared" ref="B22:C22" si="1">SUM(B5:B21)</f>
        <v>0</v>
      </c>
      <c r="C22" s="28">
        <f t="shared" si="1"/>
        <v>0</v>
      </c>
      <c r="D22" s="28">
        <f t="shared" ref="D22:N22" si="2">SUM(D5:D21)</f>
        <v>0</v>
      </c>
      <c r="E22" s="28">
        <f t="shared" si="2"/>
        <v>0</v>
      </c>
      <c r="F22" s="28">
        <f t="shared" si="2"/>
        <v>0</v>
      </c>
      <c r="G22" s="28">
        <f t="shared" si="2"/>
        <v>0</v>
      </c>
      <c r="H22" s="28">
        <f t="shared" si="2"/>
        <v>0</v>
      </c>
      <c r="I22" s="28">
        <f t="shared" si="2"/>
        <v>0</v>
      </c>
      <c r="J22" s="28">
        <f t="shared" si="2"/>
        <v>0</v>
      </c>
      <c r="K22" s="28">
        <f t="shared" si="2"/>
        <v>0</v>
      </c>
      <c r="L22" s="28">
        <f t="shared" si="2"/>
        <v>0</v>
      </c>
      <c r="M22" s="28">
        <f t="shared" si="2"/>
        <v>0</v>
      </c>
      <c r="N22" s="28">
        <f t="shared" si="2"/>
        <v>0</v>
      </c>
      <c r="P22" s="198"/>
    </row>
    <row r="23" spans="1:16" ht="15.75" thickBot="1" x14ac:dyDescent="0.35">
      <c r="A23" s="25"/>
      <c r="B23" s="26"/>
      <c r="C23" s="26"/>
      <c r="D23" s="26"/>
      <c r="E23" s="26"/>
      <c r="F23" s="26"/>
      <c r="G23" s="26"/>
      <c r="H23" s="26"/>
      <c r="I23" s="26"/>
      <c r="J23" s="26"/>
      <c r="K23" s="26"/>
      <c r="L23" s="26"/>
      <c r="M23" s="26"/>
      <c r="N23" s="26"/>
      <c r="P23" s="199"/>
    </row>
    <row r="24" spans="1:16" ht="16.5" thickTop="1" thickBot="1" x14ac:dyDescent="0.35">
      <c r="A24" s="37" t="s">
        <v>84</v>
      </c>
      <c r="B24" s="38">
        <v>43831</v>
      </c>
      <c r="C24" s="38">
        <v>43862</v>
      </c>
      <c r="D24" s="42">
        <v>43891</v>
      </c>
      <c r="E24" s="42">
        <v>43922</v>
      </c>
      <c r="F24" s="42">
        <v>43952</v>
      </c>
      <c r="G24" s="42">
        <v>43983</v>
      </c>
      <c r="H24" s="42">
        <v>44013</v>
      </c>
      <c r="I24" s="42">
        <v>44044</v>
      </c>
      <c r="J24" s="42">
        <v>44075</v>
      </c>
      <c r="K24" s="42">
        <v>44105</v>
      </c>
      <c r="L24" s="42">
        <v>44136</v>
      </c>
      <c r="M24" s="42">
        <v>44166</v>
      </c>
      <c r="N24" s="42" t="s">
        <v>88</v>
      </c>
      <c r="P24" s="198" t="s">
        <v>7</v>
      </c>
    </row>
    <row r="25" spans="1:16" ht="16.5" thickTop="1" thickBot="1" x14ac:dyDescent="0.35">
      <c r="A25" s="31" t="s">
        <v>9</v>
      </c>
      <c r="B25" s="39">
        <f>SUMIFS(Table5[Expense],Table5[Service Line],"Home Health",Table5[Cost Subcategory],"CONTRACT LABOR/ADMIN",Table5[Month],"JANUARY")</f>
        <v>0</v>
      </c>
      <c r="C25" s="39">
        <f>SUMIFS(Table5[Expense],Table5[Service Line],"Home Health",Table5[Cost Subcategory],"CONTRACT LABOR/ADMIN",Table5[Month],"FEBRUARY")</f>
        <v>0</v>
      </c>
      <c r="D25" s="39">
        <f>SUMIFS(Table5[Expense],Table5[Service Line],"Home Health",Table5[Cost Subcategory],"CONTRACT LABOR/ADMIN",Table5[Month],"MARCH")</f>
        <v>0</v>
      </c>
      <c r="E25" s="39">
        <f>SUMIFS(Table5[Expense],Table5[Service Line],"Home Health",Table5[Cost Subcategory],"CONTRACT LABOR/ADMIN",Table5[Month],"APRIL")</f>
        <v>0</v>
      </c>
      <c r="F25" s="39">
        <f>SUMIFS(Table5[Expense],Table5[Service Line],"Home Health",Table5[Cost Subcategory],"CONTRACT LABOR/ADMIN",Table5[Month],"MAY")</f>
        <v>0</v>
      </c>
      <c r="G25" s="39">
        <f>SUMIFS(Table5[Expense],Table5[Service Line],"Home Health",Table5[Cost Subcategory],"CONTRACT LABOR/ADMIN",Table5[Month],"JUNE")</f>
        <v>0</v>
      </c>
      <c r="H25" s="39">
        <f>SUMIFS(Table5[Expense],Table5[Service Line],"Home Health",Table5[Cost Subcategory],"CONTRACT LABOR/ADMIN",Table5[Month],"JULY")</f>
        <v>0</v>
      </c>
      <c r="I25" s="39">
        <f>SUMIFS(Table5[Expense],Table5[Service Line],"Home Health",Table5[Cost Subcategory],"CONTRACT LABOR/ADMIN",Table5[Month],"AUGUST")</f>
        <v>0</v>
      </c>
      <c r="J25" s="39">
        <f>SUMIFS(Table5[Expense],Table5[Service Line],"Home Health",Table5[Cost Subcategory],"CONTRACT LABOR/ADMIN",Table5[Month],"SEPTEMBER")</f>
        <v>0</v>
      </c>
      <c r="K25" s="39">
        <f>SUMIFS(Table5[Expense],Table5[Service Line],"Home Health",Table5[Cost Subcategory],"CONTRACT LABOR/ADMIN",Table5[Month],"OCTOBER")</f>
        <v>0</v>
      </c>
      <c r="L25" s="39">
        <f>SUMIFS(Table5[Expense],Table5[Service Line],"Home Health",Table5[Cost Subcategory],"CONTRACT LABOR/ADMIN",Table5[Month],"NOVEMBER")</f>
        <v>0</v>
      </c>
      <c r="M25" s="39">
        <f>SUMIFS(Table5[Expense],Table5[Service Line],"Home Health",Table5[Cost Subcategory],"CONTRACT LABOR/ADMIN",Table5[Month],"DECEMBER")</f>
        <v>0</v>
      </c>
      <c r="N25" s="43">
        <f t="shared" ref="N25:N35" si="3">SUM(D25:M25)</f>
        <v>0</v>
      </c>
      <c r="P25" s="198"/>
    </row>
    <row r="26" spans="1:16" ht="16.5" thickTop="1" thickBot="1" x14ac:dyDescent="0.35">
      <c r="A26" s="31" t="s">
        <v>8</v>
      </c>
      <c r="B26" s="39">
        <f>SUMIFS(Table5[Expense],Table5[Service Line],"Home Health",Table5[Cost Subcategory],"WAGES-ADMIN",Table5[Month],"JANUARY")</f>
        <v>0</v>
      </c>
      <c r="C26" s="39">
        <f>SUMIFS(Table5[Expense],Table5[Service Line],"Home Health",Table5[Cost Subcategory],"WAGES-ADMIN",Table5[Month],"FEBRUARY")</f>
        <v>0</v>
      </c>
      <c r="D26" s="39">
        <f>SUMIFS(Table5[Expense],Table5[Service Line],"Home Health",Table5[Cost Subcategory],"WAGES-ADMIN",Table5[Month],"MARCH")</f>
        <v>0</v>
      </c>
      <c r="E26" s="39">
        <f>SUMIFS(Table5[Expense],Table5[Service Line],"Home Health",Table5[Cost Subcategory],"WAGES-ADMIN",Table5[Month],"APRIL")</f>
        <v>0</v>
      </c>
      <c r="F26" s="39">
        <f>SUMIFS(Table5[Expense],Table5[Service Line],"Home Health",Table5[Cost Subcategory],"WAGES-ADMIN",Table5[Month],"MAY")</f>
        <v>0</v>
      </c>
      <c r="G26" s="39">
        <f>SUMIFS(Table5[Expense],Table5[Service Line],"Home Health",Table5[Cost Subcategory],"WAGES-ADMIN",Table5[Month],"JUNE")</f>
        <v>0</v>
      </c>
      <c r="H26" s="39">
        <f>SUMIFS(Table5[Expense],Table5[Service Line],"Home Health",Table5[Cost Subcategory],"WAGES-ADMIN",Table5[Month],"JULY")</f>
        <v>0</v>
      </c>
      <c r="I26" s="39">
        <f>SUMIFS(Table5[Expense],Table5[Service Line],"Home Health",Table5[Cost Subcategory],"WAGES-ADMIN",Table5[Month],"AUGUST")</f>
        <v>0</v>
      </c>
      <c r="J26" s="39">
        <f>SUMIFS(Table5[Expense],Table5[Service Line],"Home Health",Table5[Cost Subcategory],"WAGES-ADMIN",Table5[Month],"SEPTEMBER")</f>
        <v>0</v>
      </c>
      <c r="K26" s="39">
        <f>SUMIFS(Table5[Expense],Table5[Service Line],"Home Health",Table5[Cost Subcategory],"WAGES-ADMIN",Table5[Month],"OCTOBER")</f>
        <v>0</v>
      </c>
      <c r="L26" s="39">
        <f>SUMIFS(Table5[Expense],Table5[Service Line],"Home Health",Table5[Cost Subcategory],"WAGES-ADMIN",Table5[Month],"NOVEMBER")</f>
        <v>0</v>
      </c>
      <c r="M26" s="39">
        <f>SUMIFS(Table5[Expense],Table5[Service Line],"Home Health",Table5[Cost Subcategory],"WAGES-ADMIN",Table5[Month],"DECEMBER")</f>
        <v>0</v>
      </c>
      <c r="N26" s="43">
        <f t="shared" si="3"/>
        <v>0</v>
      </c>
      <c r="P26" s="198"/>
    </row>
    <row r="27" spans="1:16" ht="16.5" thickTop="1" thickBot="1" x14ac:dyDescent="0.35">
      <c r="A27" s="31" t="s">
        <v>432</v>
      </c>
      <c r="B27" s="39">
        <f>SUMIFS(Table5[Expense],Table5[Service Line],"Home Health",Table5[Cost Subcategory],"WAGES-BEREAVEMENT",Table5[Month],"JANUARY")</f>
        <v>0</v>
      </c>
      <c r="C27" s="39">
        <f>SUMIFS(Table5[Expense],Table5[Service Line],"Home Health",Table5[Cost Subcategory],"WAGES-BEREAVEMENT",Table5[Month],"FEBRUARY")</f>
        <v>0</v>
      </c>
      <c r="D27" s="39">
        <f>SUMIFS(Table5[Expense],Table5[Service Line],"Home Health",Table5[Cost Subcategory],"WAGES-BEREAVEMENT",Table5[Month],"MARCH")</f>
        <v>0</v>
      </c>
      <c r="E27" s="39">
        <f>SUMIFS(Table5[Expense],Table5[Service Line],"Home Health",Table5[Cost Subcategory],"WAGES-BEREAVEMENT",Table5[Month],"APRIL")</f>
        <v>0</v>
      </c>
      <c r="F27" s="39">
        <f>SUMIFS(Table5[Expense],Table5[Service Line],"Home Health",Table5[Cost Subcategory],"WAGES-BEREAVEMENT",Table5[Month],"MAY")</f>
        <v>0</v>
      </c>
      <c r="G27" s="39">
        <f>SUMIFS(Table5[Expense],Table5[Service Line],"Home Health",Table5[Cost Subcategory],"WAGES-BEREAVEMENT",Table5[Month],"JUNE")</f>
        <v>0</v>
      </c>
      <c r="H27" s="39">
        <f>SUMIFS(Table5[Expense],Table5[Service Line],"Home Health",Table5[Cost Subcategory],"WAGES-BEREAVEMENT",Table5[Month],"JULY")</f>
        <v>0</v>
      </c>
      <c r="I27" s="39">
        <f>SUMIFS(Table5[Expense],Table5[Service Line],"Home Health",Table5[Cost Subcategory],"WAGES-BEREAVEMENT",Table5[Month],"AUGUST")</f>
        <v>0</v>
      </c>
      <c r="J27" s="39">
        <f>SUMIFS(Table5[Expense],Table5[Service Line],"Home Health",Table5[Cost Subcategory],"WAGES-BEREAVEMENT",Table5[Month],"SEPTEMBER")</f>
        <v>0</v>
      </c>
      <c r="K27" s="39">
        <f>SUMIFS(Table5[Expense],Table5[Service Line],"Home Health",Table5[Cost Subcategory],"WAGES-BEREAVEMENT",Table5[Month],"OCTOBER")</f>
        <v>0</v>
      </c>
      <c r="L27" s="39">
        <f>SUMIFS(Table5[Expense],Table5[Service Line],"Home Health",Table5[Cost Subcategory],"WAGES-BEREAVEMENT",Table5[Month],"NOVEMBER")</f>
        <v>0</v>
      </c>
      <c r="M27" s="39">
        <f>SUMIFS(Table5[Expense],Table5[Service Line],"Home Health",Table5[Cost Subcategory],"WAGES-BEREAVEMENT",Table5[Month],"DECEMBER")</f>
        <v>0</v>
      </c>
      <c r="N27" s="43">
        <f>SUM(D27:M27)</f>
        <v>0</v>
      </c>
      <c r="P27" s="198"/>
    </row>
    <row r="28" spans="1:16" ht="16.5" thickTop="1" thickBot="1" x14ac:dyDescent="0.35">
      <c r="A28" s="31" t="s">
        <v>326</v>
      </c>
      <c r="B28" s="39">
        <f>SUMIFS(Table5[Expense],Table5[Service Line],"Home Health",Table5[Cost Subcategory],"WAGES-CLINICAL SUPPORT &amp; COORDINATION",Table5[Month],"JANUARY")</f>
        <v>0</v>
      </c>
      <c r="C28" s="39">
        <f>SUMIFS(Table5[Expense],Table5[Service Line],"Home Health",Table5[Cost Subcategory],"WAGES-CLINICAL SUPPORT &amp; COORDINATION",Table5[Month],"FEBRUARY")</f>
        <v>0</v>
      </c>
      <c r="D28" s="39">
        <f>SUMIFS(Table5[Expense],Table5[Service Line],"Home Health",Table5[Cost Subcategory],"WAGES-CLINICAL SUPPORT &amp; COORDINATION",Table5[Month],"MARCH")</f>
        <v>0</v>
      </c>
      <c r="E28" s="39">
        <f>SUMIFS(Table5[Expense],Table5[Service Line],"Home Health",Table5[Cost Subcategory],"WAGES-CLINICAL SUPPORT &amp; COORDINATION",Table5[Month],"APRIL")</f>
        <v>0</v>
      </c>
      <c r="F28" s="39">
        <f>SUMIFS(Table5[Expense],Table5[Service Line],"Home Health",Table5[Cost Subcategory],"WAGES-CLINICAL SUPPORT &amp; COORDINATION",Table5[Month],"MAY")</f>
        <v>0</v>
      </c>
      <c r="G28" s="39">
        <f>SUMIFS(Table5[Expense],Table5[Service Line],"Home Health",Table5[Cost Subcategory],"WAGES-CLINICAL SUPPORT &amp; COORDINATION",Table5[Month],"JUNE")</f>
        <v>0</v>
      </c>
      <c r="H28" s="39">
        <f>SUMIFS(Table5[Expense],Table5[Service Line],"Home Health",Table5[Cost Subcategory],"WAGES-CLINICAL SUPPORT &amp; COORDINATION",Table5[Month],"JULY")</f>
        <v>0</v>
      </c>
      <c r="I28" s="39">
        <f>SUMIFS(Table5[Expense],Table5[Service Line],"Home Health",Table5[Cost Subcategory],"WAGES-CLINICAL SUPPORT &amp; COORDINATION",Table5[Month],"AUGUST")</f>
        <v>0</v>
      </c>
      <c r="J28" s="39">
        <f>SUMIFS(Table5[Expense],Table5[Service Line],"Home Health",Table5[Cost Subcategory],"WAGES-CLINICAL SUPPORT &amp; COORDINATION",Table5[Month],"SEPTEMBER")</f>
        <v>0</v>
      </c>
      <c r="K28" s="39">
        <f>SUMIFS(Table5[Expense],Table5[Service Line],"Home Health",Table5[Cost Subcategory],"WAGES-CLINICAL SUPPORT &amp; COORDINATION",Table5[Month],"OCTOBER")</f>
        <v>0</v>
      </c>
      <c r="L28" s="39">
        <f>SUMIFS(Table5[Expense],Table5[Service Line],"Home Health",Table5[Cost Subcategory],"WAGES-CLINICAL SUPPORT &amp; COORDINATION",Table5[Month],"NOVEMBER")</f>
        <v>0</v>
      </c>
      <c r="M28" s="39">
        <f>SUMIFS(Table5[Expense],Table5[Service Line],"Home Health",Table5[Cost Subcategory],"WAGES-CLINICAL SUPPORT &amp; COORDINATION",Table5[Month],"DECEMBER")</f>
        <v>0</v>
      </c>
      <c r="N28" s="43">
        <f t="shared" si="3"/>
        <v>0</v>
      </c>
      <c r="P28" s="198"/>
    </row>
    <row r="29" spans="1:16" ht="16.5" thickTop="1" thickBot="1" x14ac:dyDescent="0.35">
      <c r="A29" s="31" t="s">
        <v>129</v>
      </c>
      <c r="B29" s="39">
        <f>SUMIFS(Table5[Expense],Table5[Service Line],"Home Health",Table5[Cost Subcategory],"WAGES-CLINICAL MANAGER &amp; DON",Table5[Month],"JANUARY")</f>
        <v>0</v>
      </c>
      <c r="C29" s="39">
        <f>SUMIFS(Table5[Expense],Table5[Service Line],"Home Health",Table5[Cost Subcategory],"WAGES-CLINICAL MANAGER &amp; DON",Table5[Month],"FEBRUARY")</f>
        <v>0</v>
      </c>
      <c r="D29" s="39">
        <f>SUMIFS(Table5[Expense],Table5[Service Line],"Home Health",Table5[Cost Subcategory],"WAGES-CLINICAL MANAGER &amp; DON",Table5[Month],"MARCH")</f>
        <v>0</v>
      </c>
      <c r="E29" s="39">
        <f>SUMIFS(Table5[Expense],Table5[Service Line],"Home Health",Table5[Cost Subcategory],"WAGES-CLINICAL MANAGER &amp; DON",Table5[Month],"APRIL")</f>
        <v>0</v>
      </c>
      <c r="F29" s="39">
        <f>SUMIFS(Table5[Expense],Table5[Service Line],"Home Health",Table5[Cost Subcategory],"WAGES-CLINICAL MANAGER &amp; DON",Table5[Month],"MAY")</f>
        <v>0</v>
      </c>
      <c r="G29" s="39">
        <f>SUMIFS(Table5[Expense],Table5[Service Line],"Home Health",Table5[Cost Subcategory],"WAGES-CLINICAL MANAGER &amp; DON",Table5[Month],"JUNE")</f>
        <v>0</v>
      </c>
      <c r="H29" s="39">
        <f>SUMIFS(Table5[Expense],Table5[Service Line],"Home Health",Table5[Cost Subcategory],"WAGES-CLINICAL MANAGER &amp; DON",Table5[Month],"JULY")</f>
        <v>0</v>
      </c>
      <c r="I29" s="39">
        <f>SUMIFS(Table5[Expense],Table5[Service Line],"Home Health",Table5[Cost Subcategory],"WAGES-CLINICAL MANAGER &amp; DON",Table5[Month],"AUGUST")</f>
        <v>0</v>
      </c>
      <c r="J29" s="39">
        <f>SUMIFS(Table5[Expense],Table5[Service Line],"Home Health",Table5[Cost Subcategory],"WAGES-CLINICAL MANAGER &amp; DON",Table5[Month],"SEPTEMBER")</f>
        <v>0</v>
      </c>
      <c r="K29" s="39">
        <f>SUMIFS(Table5[Expense],Table5[Service Line],"Home Health",Table5[Cost Subcategory],"WAGES-CLINICAL MANAGER &amp; DON",Table5[Month],"OCTOBER")</f>
        <v>0</v>
      </c>
      <c r="L29" s="39">
        <f>SUMIFS(Table5[Expense],Table5[Service Line],"Home Health",Table5[Cost Subcategory],"WAGES-CLINICAL MANAGER &amp; DON",Table5[Month],"NOVEMBER")</f>
        <v>0</v>
      </c>
      <c r="M29" s="39">
        <f>SUMIFS(Table5[Expense],Table5[Service Line],"Home Health",Table5[Cost Subcategory],"WAGES-CLINICAL MANAGER &amp; DON",Table5[Month],"DECEMBER")</f>
        <v>0</v>
      </c>
      <c r="N29" s="43">
        <f t="shared" si="3"/>
        <v>0</v>
      </c>
      <c r="P29" s="198"/>
    </row>
    <row r="30" spans="1:16" ht="16.5" thickTop="1" thickBot="1" x14ac:dyDescent="0.35">
      <c r="A30" s="31" t="s">
        <v>116</v>
      </c>
      <c r="B30" s="39">
        <f>SUMIFS(Table5[Expense],Table5[Service Line],"Home Health",Table5[Cost Subcategory],"MEDICAL DIRECTOR",Table5[Month],"JANUARY")</f>
        <v>0</v>
      </c>
      <c r="C30" s="39">
        <f>SUMIFS(Table5[Expense],Table5[Service Line],"Home Health",Table5[Cost Subcategory],"MEDICAL DIRECTOR",Table5[Month],"FEBRUARY")</f>
        <v>0</v>
      </c>
      <c r="D30" s="39">
        <f>SUMIFS(Table5[Expense],Table5[Service Line],"Home Health",Table5[Cost Subcategory],"MEDICAL DIRECTOR",Table5[Month],"MARCH")</f>
        <v>0</v>
      </c>
      <c r="E30" s="39">
        <f>SUMIFS(Table5[Expense],Table5[Service Line],"Home Health",Table5[Cost Subcategory],"MEDICAL DIRECTOR",Table5[Month],"APRIL")</f>
        <v>0</v>
      </c>
      <c r="F30" s="39">
        <f>SUMIFS(Table5[Expense],Table5[Service Line],"Home Health",Table5[Cost Subcategory],"MEDICAL DIRECTOR",Table5[Month],"MAY")</f>
        <v>0</v>
      </c>
      <c r="G30" s="39">
        <f>SUMIFS(Table5[Expense],Table5[Service Line],"Home Health",Table5[Cost Subcategory],"MEDICAL DIRECTOR",Table5[Month],"JUNE")</f>
        <v>0</v>
      </c>
      <c r="H30" s="39">
        <f>SUMIFS(Table5[Expense],Table5[Service Line],"Home Health",Table5[Cost Subcategory],"MEDICAL DIRECTOR",Table5[Month],"JULY")</f>
        <v>0</v>
      </c>
      <c r="I30" s="39">
        <f>SUMIFS(Table5[Expense],Table5[Service Line],"Home Health",Table5[Cost Subcategory],"MEDICAL DIRECTOR",Table5[Month],"AUGUST")</f>
        <v>0</v>
      </c>
      <c r="J30" s="39">
        <f>SUMIFS(Table5[Expense],Table5[Service Line],"Home Health",Table5[Cost Subcategory],"MEDICAL DIRECTOR",Table5[Month],"SEPTEMBER")</f>
        <v>0</v>
      </c>
      <c r="K30" s="39">
        <f>SUMIFS(Table5[Expense],Table5[Service Line],"Home Health",Table5[Cost Subcategory],"MEDICAL DIRECTOR",Table5[Month],"OCTOBER")</f>
        <v>0</v>
      </c>
      <c r="L30" s="39">
        <f>SUMIFS(Table5[Expense],Table5[Service Line],"Home Health",Table5[Cost Subcategory],"MEDICAL DIRECTOR",Table5[Month],"NOVEMBER")</f>
        <v>0</v>
      </c>
      <c r="M30" s="39">
        <f>SUMIFS(Table5[Expense],Table5[Service Line],"Home Health",Table5[Cost Subcategory],"MEDICAL DIRECTOR",Table5[Month],"DECEMBER")</f>
        <v>0</v>
      </c>
      <c r="N30" s="43">
        <f t="shared" si="3"/>
        <v>0</v>
      </c>
      <c r="P30" s="198"/>
    </row>
    <row r="31" spans="1:16" ht="16.5" thickTop="1" thickBot="1" x14ac:dyDescent="0.35">
      <c r="A31" s="31" t="s">
        <v>10</v>
      </c>
      <c r="B31" s="39">
        <f>SUMIFS(Table5[Expense],Table5[Service Line],"Home Health",Table5[Cost Subcategory],"WAGES-MARKETING",Table5[Month],"JANUARY")</f>
        <v>0</v>
      </c>
      <c r="C31" s="39">
        <f>SUMIFS(Table5[Expense],Table5[Service Line],"Home Health",Table5[Cost Subcategory],"WAGES-MARKETING",Table5[Month],"FEBRUARY")</f>
        <v>0</v>
      </c>
      <c r="D31" s="39">
        <f>SUMIFS(Table5[Expense],Table5[Service Line],"Home Health",Table5[Cost Subcategory],"WAGES-MARKETING",Table5[Month],"MARCH")</f>
        <v>0</v>
      </c>
      <c r="E31" s="39">
        <f>SUMIFS(Table5[Expense],Table5[Service Line],"Home Health",Table5[Cost Subcategory],"WAGES-MARKETING",Table5[Month],"APRIL")</f>
        <v>0</v>
      </c>
      <c r="F31" s="39">
        <f>SUMIFS(Table5[Expense],Table5[Service Line],"Home Health",Table5[Cost Subcategory],"WAGES-MARKETING",Table5[Month],"MAY")</f>
        <v>0</v>
      </c>
      <c r="G31" s="39">
        <f>SUMIFS(Table5[Expense],Table5[Service Line],"Home Health",Table5[Cost Subcategory],"WAGES-MARKETING",Table5[Month],"JUNE")</f>
        <v>0</v>
      </c>
      <c r="H31" s="39">
        <f>SUMIFS(Table5[Expense],Table5[Service Line],"Home Health",Table5[Cost Subcategory],"WAGES-MARKETING",Table5[Month],"JULY")</f>
        <v>0</v>
      </c>
      <c r="I31" s="39">
        <f>SUMIFS(Table5[Expense],Table5[Service Line],"Home Health",Table5[Cost Subcategory],"WAGES-MARKETING",Table5[Month],"AUGUST")</f>
        <v>0</v>
      </c>
      <c r="J31" s="39">
        <f>SUMIFS(Table5[Expense],Table5[Service Line],"Home Health",Table5[Cost Subcategory],"WAGES-MARKETING",Table5[Month],"SEPTEMBER")</f>
        <v>0</v>
      </c>
      <c r="K31" s="39">
        <f>SUMIFS(Table5[Expense],Table5[Service Line],"Home Health",Table5[Cost Subcategory],"WAGES-MARKETING",Table5[Month],"OCTOBER")</f>
        <v>0</v>
      </c>
      <c r="L31" s="39">
        <f>SUMIFS(Table5[Expense],Table5[Service Line],"Home Health",Table5[Cost Subcategory],"WAGES-MARKETING",Table5[Month],"NOVEMBER")</f>
        <v>0</v>
      </c>
      <c r="M31" s="39">
        <f>SUMIFS(Table5[Expense],Table5[Service Line],"Home Health",Table5[Cost Subcategory],"WAGES-MARKETING",Table5[Month],"DECEMBER")</f>
        <v>0</v>
      </c>
      <c r="N31" s="43">
        <f t="shared" si="3"/>
        <v>0</v>
      </c>
      <c r="P31" s="198"/>
    </row>
    <row r="32" spans="1:16" ht="16.5" thickTop="1" thickBot="1" x14ac:dyDescent="0.35">
      <c r="A32" s="31" t="s">
        <v>11</v>
      </c>
      <c r="B32" s="39">
        <f>SUMIFS(Table5[Expense],Table5[Service Line],"Home Health",Table5[Cost Subcategory],"WAGES-MED REC SPEC",Table5[Month],"JANUARY")</f>
        <v>0</v>
      </c>
      <c r="C32" s="39">
        <f>SUMIFS(Table5[Expense],Table5[Service Line],"Home Health",Table5[Cost Subcategory],"WAGES-MED REC SPEC",Table5[Month],"FEBRUARY")</f>
        <v>0</v>
      </c>
      <c r="D32" s="39">
        <f>SUMIFS(Table5[Expense],Table5[Service Line],"Home Health",Table5[Cost Subcategory],"WAGES-MED REC SPEC",Table5[Month],"MARCH")</f>
        <v>0</v>
      </c>
      <c r="E32" s="39">
        <f>SUMIFS(Table5[Expense],Table5[Service Line],"Home Health",Table5[Cost Subcategory],"WAGES-MED REC SPEC",Table5[Month],"APRIL")</f>
        <v>0</v>
      </c>
      <c r="F32" s="39">
        <f>SUMIFS(Table5[Expense],Table5[Service Line],"Home Health",Table5[Cost Subcategory],"WAGES-MED REC SPEC",Table5[Month],"MAY")</f>
        <v>0</v>
      </c>
      <c r="G32" s="39">
        <f>SUMIFS(Table5[Expense],Table5[Service Line],"Home Health",Table5[Cost Subcategory],"WAGES-MED REC SPEC",Table5[Month],"JUNE")</f>
        <v>0</v>
      </c>
      <c r="H32" s="39">
        <f>SUMIFS(Table5[Expense],Table5[Service Line],"Home Health",Table5[Cost Subcategory],"WAGES-MED REC SPEC",Table5[Month],"JULY")</f>
        <v>0</v>
      </c>
      <c r="I32" s="39">
        <f>SUMIFS(Table5[Expense],Table5[Service Line],"Home Health",Table5[Cost Subcategory],"WAGES-MED REC SPEC",Table5[Month],"AUGUST")</f>
        <v>0</v>
      </c>
      <c r="J32" s="39">
        <f>SUMIFS(Table5[Expense],Table5[Service Line],"Home Health",Table5[Cost Subcategory],"WAGES-MED REC SPEC",Table5[Month],"SEPTEMBER")</f>
        <v>0</v>
      </c>
      <c r="K32" s="39">
        <f>SUMIFS(Table5[Expense],Table5[Service Line],"Home Health",Table5[Cost Subcategory],"WAGES-MED REC SPEC",Table5[Month],"OCTOBER")</f>
        <v>0</v>
      </c>
      <c r="L32" s="39">
        <f>SUMIFS(Table5[Expense],Table5[Service Line],"Home Health",Table5[Cost Subcategory],"WAGES-MED REC SPEC",Table5[Month],"NOVEMBER")</f>
        <v>0</v>
      </c>
      <c r="M32" s="39">
        <f>SUMIFS(Table5[Expense],Table5[Service Line],"Home Health",Table5[Cost Subcategory],"WAGES-MED REC SPEC",Table5[Month],"DECEMBER")</f>
        <v>0</v>
      </c>
      <c r="N32" s="43">
        <f t="shared" si="3"/>
        <v>0</v>
      </c>
      <c r="P32" s="198"/>
    </row>
    <row r="33" spans="1:16" ht="16.5" thickTop="1" thickBot="1" x14ac:dyDescent="0.35">
      <c r="A33" s="35" t="s">
        <v>12</v>
      </c>
      <c r="B33" s="39">
        <f>SUMIFS(Table5[Expense],Table5[Service Line],"Home Health",Table5[Cost Subcategory],"WAGES-ON CALL PAY",Table5[Month],"JANUARY")</f>
        <v>0</v>
      </c>
      <c r="C33" s="39">
        <f>SUMIFS(Table5[Expense],Table5[Service Line],"Home Health",Table5[Cost Subcategory],"WAGES-ON CALL PAY",Table5[Month],"FEBRUARY")</f>
        <v>0</v>
      </c>
      <c r="D33" s="39">
        <f>SUMIFS(Table5[Expense],Table5[Service Line],"Home Health",Table5[Cost Subcategory],"WAGES-ON CALL PAY",Table5[Month],"MARCH")</f>
        <v>0</v>
      </c>
      <c r="E33" s="39">
        <f>SUMIFS(Table5[Expense],Table5[Service Line],"Home Health",Table5[Cost Subcategory],"WAGES-ON CALL PAY",Table5[Month],"APRIL")</f>
        <v>0</v>
      </c>
      <c r="F33" s="39">
        <f>SUMIFS(Table5[Expense],Table5[Service Line],"Home Health",Table5[Cost Subcategory],"WAGES-ON CALL PAY",Table5[Month],"MAY")</f>
        <v>0</v>
      </c>
      <c r="G33" s="39">
        <f>SUMIFS(Table5[Expense],Table5[Service Line],"Home Health",Table5[Cost Subcategory],"WAGES-ON CALL PAY",Table5[Month],"JUNE")</f>
        <v>0</v>
      </c>
      <c r="H33" s="39">
        <f>SUMIFS(Table5[Expense],Table5[Service Line],"Home Health",Table5[Cost Subcategory],"WAGES-ON CALL PAY",Table5[Month],"JULY")</f>
        <v>0</v>
      </c>
      <c r="I33" s="39">
        <f>SUMIFS(Table5[Expense],Table5[Service Line],"Home Health",Table5[Cost Subcategory],"WAGES-ON CALL PAY",Table5[Month],"AUGUST")</f>
        <v>0</v>
      </c>
      <c r="J33" s="39">
        <f>SUMIFS(Table5[Expense],Table5[Service Line],"Home Health",Table5[Cost Subcategory],"WAGES-ON CALL PAY",Table5[Month],"SEPTEMBER")</f>
        <v>0</v>
      </c>
      <c r="K33" s="39">
        <f>SUMIFS(Table5[Expense],Table5[Service Line],"Home Health",Table5[Cost Subcategory],"WAGES-ON CALL PAY",Table5[Month],"OCTOBER")</f>
        <v>0</v>
      </c>
      <c r="L33" s="39">
        <f>SUMIFS(Table5[Expense],Table5[Service Line],"Home Health",Table5[Cost Subcategory],"WAGES-ON CALL PAY",Table5[Month],"NOVEMBER")</f>
        <v>0</v>
      </c>
      <c r="M33" s="39">
        <f>SUMIFS(Table5[Expense],Table5[Service Line],"Home Health",Table5[Cost Subcategory],"WAGES-ON CALL PAY",Table5[Month],"DECEMBER")</f>
        <v>0</v>
      </c>
      <c r="N33" s="43">
        <f t="shared" si="3"/>
        <v>0</v>
      </c>
      <c r="P33" s="198"/>
    </row>
    <row r="34" spans="1:16" ht="16.5" thickTop="1" thickBot="1" x14ac:dyDescent="0.35">
      <c r="A34" s="34" t="s">
        <v>50</v>
      </c>
      <c r="B34" s="39">
        <f>SUMIFS(Table5[Expense],Table5[Service Line],"Home Health",Table5[Cost Subcategory],"VOLUNTEER SERVICE COORDINATION",Table5[Month],"JANUARY")</f>
        <v>0</v>
      </c>
      <c r="C34" s="39">
        <f>SUMIFS(Table5[Expense],Table5[Service Line],"Home Health",Table5[Cost Subcategory],"VOLUNTEER SERVICE COORDINATION",Table5[Month],"FEBRUARY")</f>
        <v>0</v>
      </c>
      <c r="D34" s="39">
        <f>SUMIFS(Table5[Expense],Table5[Service Line],"Home Health",Table5[Cost Subcategory],"VOLUNTEER SERVICE COORDINATION",Table5[Month],"MARCH")</f>
        <v>0</v>
      </c>
      <c r="E34" s="39">
        <f>SUMIFS(Table5[Expense],Table5[Service Line],"Home Health",Table5[Cost Subcategory],"VOLUNTEER SERVICE COORDINATION",Table5[Month],"APRIL")</f>
        <v>0</v>
      </c>
      <c r="F34" s="39">
        <f>SUMIFS(Table5[Expense],Table5[Service Line],"Home Health",Table5[Cost Subcategory],"VOLUNTEER SERVICE COORDINATION",Table5[Month],"MAY")</f>
        <v>0</v>
      </c>
      <c r="G34" s="39">
        <f>SUMIFS(Table5[Expense],Table5[Service Line],"Home Health",Table5[Cost Subcategory],"VOLUNTEER SERVICE COORDINATION",Table5[Month],"JUNE")</f>
        <v>0</v>
      </c>
      <c r="H34" s="39">
        <f>SUMIFS(Table5[Expense],Table5[Service Line],"Home Health",Table5[Cost Subcategory],"VOLUNTEER SERVICE COORDINATION",Table5[Month],"JULY")</f>
        <v>0</v>
      </c>
      <c r="I34" s="39">
        <f>SUMIFS(Table5[Expense],Table5[Service Line],"Home Health",Table5[Cost Subcategory],"VOLUNTEER SERVICE COORDINATION",Table5[Month],"AUGUST")</f>
        <v>0</v>
      </c>
      <c r="J34" s="39">
        <f>SUMIFS(Table5[Expense],Table5[Service Line],"Home Health",Table5[Cost Subcategory],"VOLUNTEER SERVICE COORDINATION",Table5[Month],"SEPTEMBER")</f>
        <v>0</v>
      </c>
      <c r="K34" s="39">
        <f>SUMIFS(Table5[Expense],Table5[Service Line],"Home Health",Table5[Cost Subcategory],"VOLUNTEER SERVICE COORDINATION",Table5[Month],"OCTOBER")</f>
        <v>0</v>
      </c>
      <c r="L34" s="39">
        <f>SUMIFS(Table5[Expense],Table5[Service Line],"Home Health",Table5[Cost Subcategory],"VOLUNTEER SERVICE COORDINATION",Table5[Month],"NOVEMBER")</f>
        <v>0</v>
      </c>
      <c r="M34" s="39">
        <f>SUMIFS(Table5[Expense],Table5[Service Line],"Home Health",Table5[Cost Subcategory],"VOLUNTEER SERVICE COORDINATION",Table5[Month],"DECEMBER")</f>
        <v>0</v>
      </c>
      <c r="N34" s="43">
        <f t="shared" si="3"/>
        <v>0</v>
      </c>
      <c r="P34" s="198"/>
    </row>
    <row r="35" spans="1:16" ht="16.5" thickTop="1" thickBot="1" x14ac:dyDescent="0.35">
      <c r="A35" s="33" t="s">
        <v>327</v>
      </c>
      <c r="B35" s="39">
        <f>SUMIFS(Table5[Expense],Table5[Service Line],"Home Health",Table5[Cost Subcategory],"EXECUTIVE WAGES",Table5[Month],"JANUARY")</f>
        <v>0</v>
      </c>
      <c r="C35" s="39">
        <f>SUMIFS(Table5[Expense],Table5[Service Line],"Home Health",Table5[Cost Subcategory],"EXECUTIVE WAGES",Table5[Month],"FEBRUARY")</f>
        <v>0</v>
      </c>
      <c r="D35" s="39">
        <f>SUMIFS(Table5[Expense],Table5[Service Line],"Home Health",Table5[Cost Subcategory],"EXECUTIVE WAGES",Table5[Month],"MARCH")</f>
        <v>0</v>
      </c>
      <c r="E35" s="39">
        <f>SUMIFS(Table5[Expense],Table5[Service Line],"Home Health",Table5[Cost Subcategory],"EXECUTIVE WAGES",Table5[Month],"APRIL")</f>
        <v>0</v>
      </c>
      <c r="F35" s="39">
        <f>SUMIFS(Table5[Expense],Table5[Service Line],"Home Health",Table5[Cost Subcategory],"EXECUTIVE WAGES",Table5[Month],"MAY")</f>
        <v>0</v>
      </c>
      <c r="G35" s="39">
        <f>SUMIFS(Table5[Expense],Table5[Service Line],"Home Health",Table5[Cost Subcategory],"EXECUTIVE WAGES",Table5[Month],"JUNE")</f>
        <v>0</v>
      </c>
      <c r="H35" s="39">
        <f>SUMIFS(Table5[Expense],Table5[Service Line],"Home Health",Table5[Cost Subcategory],"EXECUTIVE WAGES",Table5[Month],"JULY")</f>
        <v>0</v>
      </c>
      <c r="I35" s="39">
        <f>SUMIFS(Table5[Expense],Table5[Service Line],"Home Health",Table5[Cost Subcategory],"EXECUTIVE WAGES",Table5[Month],"AUGUST")</f>
        <v>0</v>
      </c>
      <c r="J35" s="39">
        <f>SUMIFS(Table5[Expense],Table5[Service Line],"Home Health",Table5[Cost Subcategory],"EXECUTIVE WAGES",Table5[Month],"SEPTEMBER")</f>
        <v>0</v>
      </c>
      <c r="K35" s="39">
        <f>SUMIFS(Table5[Expense],Table5[Service Line],"Home Health",Table5[Cost Subcategory],"EXECUTIVE WAGES",Table5[Month],"OCTOBER")</f>
        <v>0</v>
      </c>
      <c r="L35" s="39">
        <f>SUMIFS(Table5[Expense],Table5[Service Line],"Home Health",Table5[Cost Subcategory],"EXECUTIVE WAGES",Table5[Month],"NOVEMBER")</f>
        <v>0</v>
      </c>
      <c r="M35" s="39">
        <f>SUMIFS(Table5[Expense],Table5[Service Line],"Home Health",Table5[Cost Subcategory],"EXECUTIVE WAGES",Table5[Month],"DECEMBER")</f>
        <v>0</v>
      </c>
      <c r="N35" s="43">
        <f t="shared" si="3"/>
        <v>0</v>
      </c>
      <c r="P35" s="198"/>
    </row>
    <row r="36" spans="1:16" ht="16.5" thickTop="1" thickBot="1" x14ac:dyDescent="0.35">
      <c r="A36" s="23" t="s">
        <v>90</v>
      </c>
      <c r="B36" s="28">
        <f t="shared" ref="B36:N36" si="4">SUM(B25:B35)</f>
        <v>0</v>
      </c>
      <c r="C36" s="28">
        <f t="shared" si="4"/>
        <v>0</v>
      </c>
      <c r="D36" s="28">
        <f t="shared" si="4"/>
        <v>0</v>
      </c>
      <c r="E36" s="28">
        <f t="shared" si="4"/>
        <v>0</v>
      </c>
      <c r="F36" s="28">
        <f t="shared" si="4"/>
        <v>0</v>
      </c>
      <c r="G36" s="28">
        <f t="shared" si="4"/>
        <v>0</v>
      </c>
      <c r="H36" s="28">
        <f t="shared" si="4"/>
        <v>0</v>
      </c>
      <c r="I36" s="28">
        <f t="shared" si="4"/>
        <v>0</v>
      </c>
      <c r="J36" s="28">
        <f t="shared" si="4"/>
        <v>0</v>
      </c>
      <c r="K36" s="28">
        <f t="shared" si="4"/>
        <v>0</v>
      </c>
      <c r="L36" s="28">
        <f t="shared" si="4"/>
        <v>0</v>
      </c>
      <c r="M36" s="28">
        <f t="shared" si="4"/>
        <v>0</v>
      </c>
      <c r="N36" s="28">
        <f t="shared" si="4"/>
        <v>0</v>
      </c>
      <c r="P36" s="198"/>
    </row>
    <row r="37" spans="1:16" ht="15.75" thickBot="1" x14ac:dyDescent="0.35">
      <c r="A37" s="27"/>
      <c r="B37" s="26"/>
      <c r="C37" s="26"/>
      <c r="D37" s="26"/>
      <c r="E37" s="26"/>
      <c r="F37" s="26"/>
      <c r="G37" s="26"/>
      <c r="H37" s="26"/>
      <c r="I37" s="26"/>
      <c r="J37" s="26"/>
      <c r="K37" s="26"/>
      <c r="L37" s="26"/>
      <c r="M37" s="26"/>
      <c r="N37" s="26"/>
      <c r="P37" s="199"/>
    </row>
    <row r="38" spans="1:16" ht="16.5" thickTop="1" thickBot="1" x14ac:dyDescent="0.35">
      <c r="A38" s="37" t="s">
        <v>125</v>
      </c>
      <c r="B38" s="38">
        <v>43831</v>
      </c>
      <c r="C38" s="38">
        <v>43862</v>
      </c>
      <c r="D38" s="42">
        <v>43891</v>
      </c>
      <c r="E38" s="42">
        <v>43922</v>
      </c>
      <c r="F38" s="42">
        <v>43952</v>
      </c>
      <c r="G38" s="42">
        <v>43983</v>
      </c>
      <c r="H38" s="42">
        <v>44013</v>
      </c>
      <c r="I38" s="42">
        <v>44044</v>
      </c>
      <c r="J38" s="42">
        <v>44075</v>
      </c>
      <c r="K38" s="42">
        <v>44105</v>
      </c>
      <c r="L38" s="42">
        <v>44136</v>
      </c>
      <c r="M38" s="42">
        <v>44166</v>
      </c>
      <c r="N38" s="42" t="s">
        <v>88</v>
      </c>
      <c r="P38" s="198" t="s">
        <v>7</v>
      </c>
    </row>
    <row r="39" spans="1:16" ht="16.5" thickTop="1" thickBot="1" x14ac:dyDescent="0.35">
      <c r="A39" s="31" t="s">
        <v>13</v>
      </c>
      <c r="B39" s="39">
        <f>SUMIFS(Table5[Expense],Table5[Service Line],"Home Health",Table5[Cost Subcategory],"ADV-EMPLOYEE",Table5[Month],"JANUARY")</f>
        <v>0</v>
      </c>
      <c r="C39" s="39">
        <f>SUMIFS(Table5[Expense],Table5[Service Line],"Home Health",Table5[Cost Subcategory],"ADV-EMPLOYEE",Table5[Month],"FEBRUARY")</f>
        <v>0</v>
      </c>
      <c r="D39" s="39">
        <f>SUMIFS(Table5[Expense],Table5[Service Line],"Home Health",Table5[Cost Subcategory],"ADV-EMPLOYEE",Table5[Month],"MARCH")</f>
        <v>0</v>
      </c>
      <c r="E39" s="39">
        <f>SUMIFS(Table5[Expense],Table5[Service Line],"Home Health",Table5[Cost Subcategory],"ADV-EMPLOYEE",Table5[Month],"APRIL")</f>
        <v>0</v>
      </c>
      <c r="F39" s="39">
        <f>SUMIFS(Table5[Expense],Table5[Service Line],"Home Health",Table5[Cost Subcategory],"ADV-EMPLOYEE",Table5[Month],"MAY")</f>
        <v>0</v>
      </c>
      <c r="G39" s="39">
        <f>SUMIFS(Table5[Expense],Table5[Service Line],"Home Health",Table5[Cost Subcategory],"ADV-EMPLOYEE",Table5[Month],"JUNE")</f>
        <v>0</v>
      </c>
      <c r="H39" s="39">
        <f>SUMIFS(Table5[Expense],Table5[Service Line],"Home Health",Table5[Cost Subcategory],"ADV-EMPLOYEE",Table5[Month],"JULY")</f>
        <v>0</v>
      </c>
      <c r="I39" s="39">
        <f>SUMIFS(Table5[Expense],Table5[Service Line],"Home Health",Table5[Cost Subcategory],"ADV-EMPLOYEE",Table5[Month],"AUGUST")</f>
        <v>0</v>
      </c>
      <c r="J39" s="39">
        <f>SUMIFS(Table5[Expense],Table5[Service Line],"Home Health",Table5[Cost Subcategory],"ADV-EMPLOYEE",Table5[Month],"SEPTEMBER")</f>
        <v>0</v>
      </c>
      <c r="K39" s="39">
        <f>SUMIFS(Table5[Expense],Table5[Service Line],"Home Health",Table5[Cost Subcategory],"ADV-EMPLOYEE",Table5[Month],"OCTOBER")</f>
        <v>0</v>
      </c>
      <c r="L39" s="39">
        <f>SUMIFS(Table5[Expense],Table5[Service Line],"Home Health",Table5[Cost Subcategory],"ADV-EMPLOYEE",Table5[Month],"NOVEMBER")</f>
        <v>0</v>
      </c>
      <c r="M39" s="39">
        <f>SUMIFS(Table5[Expense],Table5[Service Line],"Home Health",Table5[Cost Subcategory],"ADV-EMPLOYEE",Table5[Month],"DECEMBER")</f>
        <v>0</v>
      </c>
      <c r="N39" s="43">
        <f t="shared" ref="N39:N85" si="5">SUM(D39:M39)</f>
        <v>0</v>
      </c>
      <c r="P39" s="198"/>
    </row>
    <row r="40" spans="1:16" ht="16.5" thickTop="1" thickBot="1" x14ac:dyDescent="0.35">
      <c r="A40" s="31" t="s">
        <v>14</v>
      </c>
      <c r="B40" s="39">
        <f>SUMIFS(Table5[Expense],Table5[Service Line],"Home Health",Table5[Cost Subcategory],"ADV-MARKETING",Table5[Month],"JANUARY")</f>
        <v>0</v>
      </c>
      <c r="C40" s="39">
        <f>SUMIFS(Table5[Expense],Table5[Service Line],"Home Health",Table5[Cost Subcategory],"ADV-MARKETING",Table5[Month],"FEBRUARY")</f>
        <v>0</v>
      </c>
      <c r="D40" s="39">
        <f>SUMIFS(Table5[Expense],Table5[Service Line],"Home Health",Table5[Cost Subcategory],"ADV-MARKETING",Table5[Month],"MARCH")</f>
        <v>0</v>
      </c>
      <c r="E40" s="39">
        <f>SUMIFS(Table5[Expense],Table5[Service Line],"Home Health",Table5[Cost Subcategory],"ADV-MARKETING",Table5[Month],"APRIL")</f>
        <v>0</v>
      </c>
      <c r="F40" s="39">
        <f>SUMIFS(Table5[Expense],Table5[Service Line],"Home Health",Table5[Cost Subcategory],"ADV-MARKETING",Table5[Month],"MAY")</f>
        <v>0</v>
      </c>
      <c r="G40" s="39">
        <f>SUMIFS(Table5[Expense],Table5[Service Line],"Home Health",Table5[Cost Subcategory],"ADV-MARKETING",Table5[Month],"JUNE")</f>
        <v>0</v>
      </c>
      <c r="H40" s="39">
        <f>SUMIFS(Table5[Expense],Table5[Service Line],"Home Health",Table5[Cost Subcategory],"ADV-MARKETING",Table5[Month],"JULY")</f>
        <v>0</v>
      </c>
      <c r="I40" s="39">
        <f>SUMIFS(Table5[Expense],Table5[Service Line],"Home Health",Table5[Cost Subcategory],"ADV-MARKETING",Table5[Month],"AUGUST")</f>
        <v>0</v>
      </c>
      <c r="J40" s="39">
        <f>SUMIFS(Table5[Expense],Table5[Service Line],"Home Health",Table5[Cost Subcategory],"ADV-MARKETING",Table5[Month],"SEPTEMBER")</f>
        <v>0</v>
      </c>
      <c r="K40" s="39">
        <f>SUMIFS(Table5[Expense],Table5[Service Line],"Home Health",Table5[Cost Subcategory],"ADV-MARKETING",Table5[Month],"OCTOBER")</f>
        <v>0</v>
      </c>
      <c r="L40" s="39">
        <f>SUMIFS(Table5[Expense],Table5[Service Line],"Home Health",Table5[Cost Subcategory],"ADV-MARKETING",Table5[Month],"NOVEMBER")</f>
        <v>0</v>
      </c>
      <c r="M40" s="39">
        <f>SUMIFS(Table5[Expense],Table5[Service Line],"Home Health",Table5[Cost Subcategory],"ADV-MARKETING",Table5[Month],"DECEMBER")</f>
        <v>0</v>
      </c>
      <c r="N40" s="43">
        <f t="shared" si="5"/>
        <v>0</v>
      </c>
      <c r="P40" s="198"/>
    </row>
    <row r="41" spans="1:16" ht="16.5" thickTop="1" thickBot="1" x14ac:dyDescent="0.35">
      <c r="A41" s="31" t="s">
        <v>15</v>
      </c>
      <c r="B41" s="39">
        <f>SUMIFS(Table5[Expense],Table5[Service Line],"Home Health",Table5[Cost Subcategory],"AMORTIZATION EXPENSE",Table5[Month],"JANUARY")</f>
        <v>0</v>
      </c>
      <c r="C41" s="39">
        <f>SUMIFS(Table5[Expense],Table5[Service Line],"Home Health",Table5[Cost Subcategory],"AMORTIZATION EXPENSE",Table5[Month],"FEBRUARY")</f>
        <v>0</v>
      </c>
      <c r="D41" s="39">
        <f>SUMIFS(Table5[Expense],Table5[Service Line],"Home Health",Table5[Cost Subcategory],"AMORTIZATION EXPENSE",Table5[Month],"MARCH")</f>
        <v>0</v>
      </c>
      <c r="E41" s="39">
        <f>SUMIFS(Table5[Expense],Table5[Service Line],"Home Health",Table5[Cost Subcategory],"AMORTIZATION EXPENSE",Table5[Month],"APRIL")</f>
        <v>0</v>
      </c>
      <c r="F41" s="39">
        <f>SUMIFS(Table5[Expense],Table5[Service Line],"Home Health",Table5[Cost Subcategory],"AMORTIZATION EXPENSE",Table5[Month],"MAY")</f>
        <v>0</v>
      </c>
      <c r="G41" s="39">
        <f>SUMIFS(Table5[Expense],Table5[Service Line],"Home Health",Table5[Cost Subcategory],"AMORTIZATION EXPENSE",Table5[Month],"JUNE")</f>
        <v>0</v>
      </c>
      <c r="H41" s="39">
        <f>SUMIFS(Table5[Expense],Table5[Service Line],"Home Health",Table5[Cost Subcategory],"AMORTIZATION EXPENSE",Table5[Month],"JULY")</f>
        <v>0</v>
      </c>
      <c r="I41" s="39">
        <f>SUMIFS(Table5[Expense],Table5[Service Line],"Home Health",Table5[Cost Subcategory],"AMORTIZATION EXPENSE",Table5[Month],"AUGUST")</f>
        <v>0</v>
      </c>
      <c r="J41" s="39">
        <f>SUMIFS(Table5[Expense],Table5[Service Line],"Home Health",Table5[Cost Subcategory],"AMORTIZATION EXPENSE",Table5[Month],"SEPTEMBER")</f>
        <v>0</v>
      </c>
      <c r="K41" s="39">
        <f>SUMIFS(Table5[Expense],Table5[Service Line],"Home Health",Table5[Cost Subcategory],"AMORTIZATION EXPENSE",Table5[Month],"OCTOBER")</f>
        <v>0</v>
      </c>
      <c r="L41" s="39">
        <f>SUMIFS(Table5[Expense],Table5[Service Line],"Home Health",Table5[Cost Subcategory],"AMORTIZATION EXPENSE",Table5[Month],"NOVEMBER")</f>
        <v>0</v>
      </c>
      <c r="M41" s="39">
        <f>SUMIFS(Table5[Expense],Table5[Service Line],"Home Health",Table5[Cost Subcategory],"AMORTIZATION EXPENSE",Table5[Month],"DECEMBER")</f>
        <v>0</v>
      </c>
      <c r="N41" s="43">
        <f t="shared" si="5"/>
        <v>0</v>
      </c>
      <c r="P41" s="198"/>
    </row>
    <row r="42" spans="1:16" ht="16.5" thickTop="1" thickBot="1" x14ac:dyDescent="0.35">
      <c r="A42" s="31" t="s">
        <v>16</v>
      </c>
      <c r="B42" s="39">
        <f>SUMIFS(Table5[Expense],Table5[Service Line],"Home Health",Table5[Cost Subcategory],"AUTO/TRUCK EXPENSE",Table5[Month],"JANUARY")</f>
        <v>0</v>
      </c>
      <c r="C42" s="39">
        <f>SUMIFS(Table5[Expense],Table5[Service Line],"Home Health",Table5[Cost Subcategory],"AUTO/TRUCK EXPENSE",Table5[Month],"FEBRUARY")</f>
        <v>0</v>
      </c>
      <c r="D42" s="39">
        <f>SUMIFS(Table5[Expense],Table5[Service Line],"Home Health",Table5[Cost Subcategory],"AUTO/TRUCK EXPENSE",Table5[Month],"MARCH")</f>
        <v>0</v>
      </c>
      <c r="E42" s="39">
        <f>SUMIFS(Table5[Expense],Table5[Service Line],"Home Health",Table5[Cost Subcategory],"AUTO/TRUCK EXPENSE",Table5[Month],"APRIL")</f>
        <v>0</v>
      </c>
      <c r="F42" s="39">
        <f>SUMIFS(Table5[Expense],Table5[Service Line],"Home Health",Table5[Cost Subcategory],"AUTO/TRUCK EXPENSE",Table5[Month],"MAY")</f>
        <v>0</v>
      </c>
      <c r="G42" s="39">
        <f>SUMIFS(Table5[Expense],Table5[Service Line],"Home Health",Table5[Cost Subcategory],"AUTO/TRUCK EXPENSE",Table5[Month],"JUNE")</f>
        <v>0</v>
      </c>
      <c r="H42" s="39">
        <f>SUMIFS(Table5[Expense],Table5[Service Line],"Home Health",Table5[Cost Subcategory],"AUTO/TRUCK EXPENSE",Table5[Month],"JULY")</f>
        <v>0</v>
      </c>
      <c r="I42" s="39">
        <f>SUMIFS(Table5[Expense],Table5[Service Line],"Home Health",Table5[Cost Subcategory],"AUTO/TRUCK EXPENSE",Table5[Month],"AUGUST")</f>
        <v>0</v>
      </c>
      <c r="J42" s="39">
        <f>SUMIFS(Table5[Expense],Table5[Service Line],"Home Health",Table5[Cost Subcategory],"AUTO/TRUCK EXPENSE",Table5[Month],"SEPTEMBER")</f>
        <v>0</v>
      </c>
      <c r="K42" s="39">
        <f>SUMIFS(Table5[Expense],Table5[Service Line],"Home Health",Table5[Cost Subcategory],"AUTO/TRUCK EXPENSE",Table5[Month],"OCTOBER")</f>
        <v>0</v>
      </c>
      <c r="L42" s="39">
        <f>SUMIFS(Table5[Expense],Table5[Service Line],"Home Health",Table5[Cost Subcategory],"AUTO/TRUCK EXPENSE",Table5[Month],"NOVEMBER")</f>
        <v>0</v>
      </c>
      <c r="M42" s="39">
        <f>SUMIFS(Table5[Expense],Table5[Service Line],"Home Health",Table5[Cost Subcategory],"AUTO/TRUCK EXPENSE",Table5[Month],"DECEMBER")</f>
        <v>0</v>
      </c>
      <c r="N42" s="43">
        <f t="shared" si="5"/>
        <v>0</v>
      </c>
      <c r="P42" s="198"/>
    </row>
    <row r="43" spans="1:16" ht="16.5" thickTop="1" thickBot="1" x14ac:dyDescent="0.35">
      <c r="A43" s="31" t="s">
        <v>97</v>
      </c>
      <c r="B43" s="39">
        <f>SUMIFS(Table5[Expense],Table5[Service Line],"Home Health",Table5[Cost Subcategory],"BANK CHARGES",Table5[Month],"JANUARY")</f>
        <v>0</v>
      </c>
      <c r="C43" s="39">
        <f>SUMIFS(Table5[Expense],Table5[Service Line],"Home Health",Table5[Cost Subcategory],"BANK CHARGES",Table5[Month],"FEBRUARY")</f>
        <v>0</v>
      </c>
      <c r="D43" s="39">
        <f>SUMIFS(Table5[Expense],Table5[Service Line],"Home Health",Table5[Cost Subcategory],"BANK CHARGES",Table5[Month],"MARCH")</f>
        <v>0</v>
      </c>
      <c r="E43" s="39">
        <f>SUMIFS(Table5[Expense],Table5[Service Line],"Home Health",Table5[Cost Subcategory],"BANK CHARGES",Table5[Month],"APRIL")</f>
        <v>0</v>
      </c>
      <c r="F43" s="39">
        <f>SUMIFS(Table5[Expense],Table5[Service Line],"Home Health",Table5[Cost Subcategory],"BANK CHARGES",Table5[Month],"MAY")</f>
        <v>0</v>
      </c>
      <c r="G43" s="39">
        <f>SUMIFS(Table5[Expense],Table5[Service Line],"Home Health",Table5[Cost Subcategory],"BANK CHARGES",Table5[Month],"JUNE")</f>
        <v>0</v>
      </c>
      <c r="H43" s="39">
        <f>SUMIFS(Table5[Expense],Table5[Service Line],"Home Health",Table5[Cost Subcategory],"BANK CHARGES",Table5[Month],"JULY")</f>
        <v>0</v>
      </c>
      <c r="I43" s="39">
        <f>SUMIFS(Table5[Expense],Table5[Service Line],"Home Health",Table5[Cost Subcategory],"BANK CHARGES",Table5[Month],"AUGUST")</f>
        <v>0</v>
      </c>
      <c r="J43" s="39">
        <f>SUMIFS(Table5[Expense],Table5[Service Line],"Home Health",Table5[Cost Subcategory],"BANK CHARGES",Table5[Month],"SEPTEMBER")</f>
        <v>0</v>
      </c>
      <c r="K43" s="39">
        <f>SUMIFS(Table5[Expense],Table5[Service Line],"Home Health",Table5[Cost Subcategory],"BANK CHARGES",Table5[Month],"OCTOBER")</f>
        <v>0</v>
      </c>
      <c r="L43" s="39">
        <f>SUMIFS(Table5[Expense],Table5[Service Line],"Home Health",Table5[Cost Subcategory],"BANK CHARGES",Table5[Month],"NOVEMBER")</f>
        <v>0</v>
      </c>
      <c r="M43" s="39">
        <f>SUMIFS(Table5[Expense],Table5[Service Line],"Home Health",Table5[Cost Subcategory],"BANK CHARGES",Table5[Month],"DECEMBER")</f>
        <v>0</v>
      </c>
      <c r="N43" s="43">
        <f t="shared" ref="N43" si="6">SUM(D43:M43)</f>
        <v>0</v>
      </c>
      <c r="P43" s="198"/>
    </row>
    <row r="44" spans="1:16" ht="16.5" thickTop="1" thickBot="1" x14ac:dyDescent="0.35">
      <c r="A44" s="31" t="s">
        <v>51</v>
      </c>
      <c r="B44" s="39">
        <f>SUMIFS(Table5[Expense],Table5[Service Line],"Home Health",Table5[Cost Subcategory],"COMPUTER HARDWARE",Table5[Month],"JANUARY")</f>
        <v>0</v>
      </c>
      <c r="C44" s="39">
        <f>SUMIFS(Table5[Expense],Table5[Service Line],"Home Health",Table5[Cost Subcategory],"COMPUTER HARDWARE",Table5[Month],"FEBRUARY")</f>
        <v>0</v>
      </c>
      <c r="D44" s="39">
        <f>SUMIFS(Table5[Expense],Table5[Service Line],"Home Health",Table5[Cost Subcategory],"COMPUTER HARDWARE",Table5[Month],"MARCH")</f>
        <v>0</v>
      </c>
      <c r="E44" s="39">
        <f>SUMIFS(Table5[Expense],Table5[Service Line],"Home Health",Table5[Cost Subcategory],"COMPUTER HARDWARE",Table5[Month],"APRIL")</f>
        <v>0</v>
      </c>
      <c r="F44" s="39">
        <f>SUMIFS(Table5[Expense],Table5[Service Line],"Home Health",Table5[Cost Subcategory],"COMPUTER HARDWARE",Table5[Month],"MAY")</f>
        <v>0</v>
      </c>
      <c r="G44" s="39">
        <f>SUMIFS(Table5[Expense],Table5[Service Line],"Home Health",Table5[Cost Subcategory],"COMPUTER HARDWARE",Table5[Month],"JUNE")</f>
        <v>0</v>
      </c>
      <c r="H44" s="39">
        <f>SUMIFS(Table5[Expense],Table5[Service Line],"Home Health",Table5[Cost Subcategory],"COMPUTER HARDWARE",Table5[Month],"JULY")</f>
        <v>0</v>
      </c>
      <c r="I44" s="39">
        <f>SUMIFS(Table5[Expense],Table5[Service Line],"Home Health",Table5[Cost Subcategory],"COMPUTER HARDWARE",Table5[Month],"AUGUST")</f>
        <v>0</v>
      </c>
      <c r="J44" s="39">
        <f>SUMIFS(Table5[Expense],Table5[Service Line],"Home Health",Table5[Cost Subcategory],"COMPUTER HARDWARE",Table5[Month],"SEPTEMBER")</f>
        <v>0</v>
      </c>
      <c r="K44" s="39">
        <f>SUMIFS(Table5[Expense],Table5[Service Line],"Home Health",Table5[Cost Subcategory],"COMPUTER HARDWARE",Table5[Month],"OCTOBER")</f>
        <v>0</v>
      </c>
      <c r="L44" s="39">
        <f>SUMIFS(Table5[Expense],Table5[Service Line],"Home Health",Table5[Cost Subcategory],"COMPUTER HARDWARE",Table5[Month],"NOVEMBER")</f>
        <v>0</v>
      </c>
      <c r="M44" s="39">
        <f>SUMIFS(Table5[Expense],Table5[Service Line],"Home Health",Table5[Cost Subcategory],"COMPUTER HARDWARE",Table5[Month],"DECEMBER")</f>
        <v>0</v>
      </c>
      <c r="N44" s="43">
        <f t="shared" si="5"/>
        <v>0</v>
      </c>
      <c r="P44" s="198"/>
    </row>
    <row r="45" spans="1:16" ht="16.5" thickTop="1" thickBot="1" x14ac:dyDescent="0.35">
      <c r="A45" s="31" t="s">
        <v>98</v>
      </c>
      <c r="B45" s="39">
        <f>SUMIFS(Table5[Expense],Table5[Service Line],"Home Health",Table5[Cost Subcategory],"COMPUTER SOFTWARE",Table5[Month],"JANUARY")</f>
        <v>0</v>
      </c>
      <c r="C45" s="39">
        <f>SUMIFS(Table5[Expense],Table5[Service Line],"Home Health",Table5[Cost Subcategory],"COMPUTER SOFTWARE",Table5[Month],"FEBRUARY")</f>
        <v>0</v>
      </c>
      <c r="D45" s="39">
        <f>SUMIFS(Table5[Expense],Table5[Service Line],"Home Health",Table5[Cost Subcategory],"COMPUTER SOFTWARE",Table5[Month],"MARCH")</f>
        <v>0</v>
      </c>
      <c r="E45" s="39">
        <f>SUMIFS(Table5[Expense],Table5[Service Line],"Home Health",Table5[Cost Subcategory],"COMPUTER SOFTWARE",Table5[Month],"APRIL")</f>
        <v>0</v>
      </c>
      <c r="F45" s="39">
        <f>SUMIFS(Table5[Expense],Table5[Service Line],"Home Health",Table5[Cost Subcategory],"COMPUTER SOFTWARE",Table5[Month],"MAY")</f>
        <v>0</v>
      </c>
      <c r="G45" s="39">
        <f>SUMIFS(Table5[Expense],Table5[Service Line],"Home Health",Table5[Cost Subcategory],"COMPUTER SOFTWARE",Table5[Month],"JUNE")</f>
        <v>0</v>
      </c>
      <c r="H45" s="39">
        <f>SUMIFS(Table5[Expense],Table5[Service Line],"Home Health",Table5[Cost Subcategory],"COMPUTER SOFTWARE",Table5[Month],"JULY")</f>
        <v>0</v>
      </c>
      <c r="I45" s="39">
        <f>SUMIFS(Table5[Expense],Table5[Service Line],"Home Health",Table5[Cost Subcategory],"COMPUTER SOFTWARE",Table5[Month],"AUGUST")</f>
        <v>0</v>
      </c>
      <c r="J45" s="39">
        <f>SUMIFS(Table5[Expense],Table5[Service Line],"Home Health",Table5[Cost Subcategory],"COMPUTER SOFTWARE",Table5[Month],"SEPTEMBER")</f>
        <v>0</v>
      </c>
      <c r="K45" s="39">
        <f>SUMIFS(Table5[Expense],Table5[Service Line],"Home Health",Table5[Cost Subcategory],"COMPUTER SOFTWARE",Table5[Month],"OCTOBER")</f>
        <v>0</v>
      </c>
      <c r="L45" s="39">
        <f>SUMIFS(Table5[Expense],Table5[Service Line],"Home Health",Table5[Cost Subcategory],"COMPUTER SOFTWARE",Table5[Month],"NOVEMBER")</f>
        <v>0</v>
      </c>
      <c r="M45" s="39">
        <f>SUMIFS(Table5[Expense],Table5[Service Line],"Home Health",Table5[Cost Subcategory],"COMPUTER SOFTWARE",Table5[Month],"DECEMBER")</f>
        <v>0</v>
      </c>
      <c r="N45" s="43">
        <f t="shared" ref="N45:N46" si="7">SUM(D45:M45)</f>
        <v>0</v>
      </c>
      <c r="P45" s="198"/>
    </row>
    <row r="46" spans="1:16" ht="16.5" thickTop="1" thickBot="1" x14ac:dyDescent="0.35">
      <c r="A46" s="31" t="s">
        <v>99</v>
      </c>
      <c r="B46" s="39">
        <f>SUMIFS(Table5[Expense],Table5[Service Line],"Home Health",Table5[Cost Subcategory],"COMPUTER MAINTENANCE",Table5[Month],"JANUARY")</f>
        <v>0</v>
      </c>
      <c r="C46" s="39">
        <f>SUMIFS(Table5[Expense],Table5[Service Line],"Home Health",Table5[Cost Subcategory],"COMPUTER MAINTENANCE",Table5[Month],"FEBRUARY")</f>
        <v>0</v>
      </c>
      <c r="D46" s="39">
        <f>SUMIFS(Table5[Expense],Table5[Service Line],"Home Health",Table5[Cost Subcategory],"COMPUTER MAINTENANCE",Table5[Month],"MARCH")</f>
        <v>0</v>
      </c>
      <c r="E46" s="39">
        <f>SUMIFS(Table5[Expense],Table5[Service Line],"Home Health",Table5[Cost Subcategory],"COMPUTER MAINTENANCE",Table5[Month],"APRIL")</f>
        <v>0</v>
      </c>
      <c r="F46" s="39">
        <f>SUMIFS(Table5[Expense],Table5[Service Line],"Home Health",Table5[Cost Subcategory],"COMPUTER MAINTENANCE",Table5[Month],"MAY")</f>
        <v>0</v>
      </c>
      <c r="G46" s="39">
        <f>SUMIFS(Table5[Expense],Table5[Service Line],"Home Health",Table5[Cost Subcategory],"COMPUTER MAINTENANCE",Table5[Month],"JUNE")</f>
        <v>0</v>
      </c>
      <c r="H46" s="39">
        <f>SUMIFS(Table5[Expense],Table5[Service Line],"Home Health",Table5[Cost Subcategory],"COMPUTER MAINTENANCE",Table5[Month],"JULY")</f>
        <v>0</v>
      </c>
      <c r="I46" s="39">
        <f>SUMIFS(Table5[Expense],Table5[Service Line],"Home Health",Table5[Cost Subcategory],"COMPUTER MAINTENANCE",Table5[Month],"AUGUST")</f>
        <v>0</v>
      </c>
      <c r="J46" s="39">
        <f>SUMIFS(Table5[Expense],Table5[Service Line],"Home Health",Table5[Cost Subcategory],"COMPUTER MAINTENANCE",Table5[Month],"SEPTEMBER")</f>
        <v>0</v>
      </c>
      <c r="K46" s="39">
        <f>SUMIFS(Table5[Expense],Table5[Service Line],"Home Health",Table5[Cost Subcategory],"COMPUTER MAINTENANCE",Table5[Month],"OCTOBER")</f>
        <v>0</v>
      </c>
      <c r="L46" s="39">
        <f>SUMIFS(Table5[Expense],Table5[Service Line],"Home Health",Table5[Cost Subcategory],"COMPUTER MAINTENANCE",Table5[Month],"NOVEMBER")</f>
        <v>0</v>
      </c>
      <c r="M46" s="39">
        <f>SUMIFS(Table5[Expense],Table5[Service Line],"Home Health",Table5[Cost Subcategory],"COMPUTER MAINTENANCE",Table5[Month],"DECEMBER")</f>
        <v>0</v>
      </c>
      <c r="N46" s="43">
        <f t="shared" si="7"/>
        <v>0</v>
      </c>
      <c r="P46" s="198"/>
    </row>
    <row r="47" spans="1:16" ht="16.5" thickTop="1" thickBot="1" x14ac:dyDescent="0.35">
      <c r="A47" s="31" t="s">
        <v>101</v>
      </c>
      <c r="B47" s="39">
        <f>SUMIFS(Table5[Expense],Table5[Service Line],"Home Health",Table5[Cost Subcategory],"IS SUPPORT-OTHER",Table5[Month],"JANUARY")</f>
        <v>0</v>
      </c>
      <c r="C47" s="39">
        <f>SUMIFS(Table5[Expense],Table5[Service Line],"Home Health",Table5[Cost Subcategory],"IS SUPPORT-OTHER",Table5[Month],"FEBRUARY")</f>
        <v>0</v>
      </c>
      <c r="D47" s="39">
        <f>SUMIFS(Table5[Expense],Table5[Service Line],"Home Health",Table5[Cost Subcategory],"IS SUPPORT-OTHER",Table5[Month],"MARCH")</f>
        <v>0</v>
      </c>
      <c r="E47" s="39">
        <f>SUMIFS(Table5[Expense],Table5[Service Line],"Home Health",Table5[Cost Subcategory],"IS SUPPORT-OTHER",Table5[Month],"APRIL")</f>
        <v>0</v>
      </c>
      <c r="F47" s="39">
        <f>SUMIFS(Table5[Expense],Table5[Service Line],"Home Health",Table5[Cost Subcategory],"IS SUPPORT-OTHER",Table5[Month],"MAY")</f>
        <v>0</v>
      </c>
      <c r="G47" s="39">
        <f>SUMIFS(Table5[Expense],Table5[Service Line],"Home Health",Table5[Cost Subcategory],"IS SUPPORT-OTHER",Table5[Month],"JUNE")</f>
        <v>0</v>
      </c>
      <c r="H47" s="39">
        <f>SUMIFS(Table5[Expense],Table5[Service Line],"Home Health",Table5[Cost Subcategory],"IS SUPPORT-OTHER",Table5[Month],"JULY")</f>
        <v>0</v>
      </c>
      <c r="I47" s="39">
        <f>SUMIFS(Table5[Expense],Table5[Service Line],"Home Health",Table5[Cost Subcategory],"IS SUPPORT-OTHER",Table5[Month],"AUGUST")</f>
        <v>0</v>
      </c>
      <c r="J47" s="39">
        <f>SUMIFS(Table5[Expense],Table5[Service Line],"Home Health",Table5[Cost Subcategory],"IS SUPPORT-OTHER",Table5[Month],"SEPTEMBER")</f>
        <v>0</v>
      </c>
      <c r="K47" s="39">
        <f>SUMIFS(Table5[Expense],Table5[Service Line],"Home Health",Table5[Cost Subcategory],"IS SUPPORT-OTHER",Table5[Month],"OCTOBER")</f>
        <v>0</v>
      </c>
      <c r="L47" s="39">
        <f>SUMIFS(Table5[Expense],Table5[Service Line],"Home Health",Table5[Cost Subcategory],"IS SUPPORT-OTHER",Table5[Month],"NOVEMBER")</f>
        <v>0</v>
      </c>
      <c r="M47" s="39">
        <f>SUMIFS(Table5[Expense],Table5[Service Line],"Home Health",Table5[Cost Subcategory],"IS SUPPORT-OTHER",Table5[Month],"DECEMBER")</f>
        <v>0</v>
      </c>
      <c r="N47" s="43">
        <f t="shared" ref="N47" si="8">SUM(D47:M47)</f>
        <v>0</v>
      </c>
      <c r="P47" s="198"/>
    </row>
    <row r="48" spans="1:16" ht="16.5" thickTop="1" thickBot="1" x14ac:dyDescent="0.35">
      <c r="A48" s="31" t="s">
        <v>100</v>
      </c>
      <c r="B48" s="39">
        <f>SUMIFS(Table5[Expense],Table5[Service Line],"Home Health",Table5[Cost Subcategory],"DEPRECIATION EXPENSE",Table5[Month],"JANUARY")</f>
        <v>0</v>
      </c>
      <c r="C48" s="39">
        <f>SUMIFS(Table5[Expense],Table5[Service Line],"Home Health",Table5[Cost Subcategory],"DEPRECIATION EXPENSE",Table5[Month],"FEBRUARY")</f>
        <v>0</v>
      </c>
      <c r="D48" s="39">
        <f>SUMIFS(Table5[Expense],Table5[Service Line],"Home Health",Table5[Cost Subcategory],"DEPRECIATION EXPENSE",Table5[Month],"MARCH")</f>
        <v>0</v>
      </c>
      <c r="E48" s="39">
        <f>SUMIFS(Table5[Expense],Table5[Service Line],"Home Health",Table5[Cost Subcategory],"DEPRECIATION EXPENSE",Table5[Month],"APRIL")</f>
        <v>0</v>
      </c>
      <c r="F48" s="39">
        <f>SUMIFS(Table5[Expense],Table5[Service Line],"Home Health",Table5[Cost Subcategory],"DEPRECIATION EXPENSE",Table5[Month],"MAY")</f>
        <v>0</v>
      </c>
      <c r="G48" s="39">
        <f>SUMIFS(Table5[Expense],Table5[Service Line],"Home Health",Table5[Cost Subcategory],"DEPRECIATION EXPENSE",Table5[Month],"JUNE")</f>
        <v>0</v>
      </c>
      <c r="H48" s="39">
        <f>SUMIFS(Table5[Expense],Table5[Service Line],"Home Health",Table5[Cost Subcategory],"DEPRECIATION EXPENSE",Table5[Month],"JULY")</f>
        <v>0</v>
      </c>
      <c r="I48" s="39">
        <f>SUMIFS(Table5[Expense],Table5[Service Line],"Home Health",Table5[Cost Subcategory],"DEPRECIATION EXPENSE",Table5[Month],"AUGUST")</f>
        <v>0</v>
      </c>
      <c r="J48" s="39">
        <f>SUMIFS(Table5[Expense],Table5[Service Line],"Home Health",Table5[Cost Subcategory],"DEPRECIATION EXPENSE",Table5[Month],"SEPTEMBER")</f>
        <v>0</v>
      </c>
      <c r="K48" s="39">
        <f>SUMIFS(Table5[Expense],Table5[Service Line],"Home Health",Table5[Cost Subcategory],"DEPRECIATION EXPENSE",Table5[Month],"OCTOBER")</f>
        <v>0</v>
      </c>
      <c r="L48" s="39">
        <f>SUMIFS(Table5[Expense],Table5[Service Line],"Home Health",Table5[Cost Subcategory],"DEPRECIATION EXPENSE",Table5[Month],"NOVEMBER")</f>
        <v>0</v>
      </c>
      <c r="M48" s="39">
        <f>SUMIFS(Table5[Expense],Table5[Service Line],"Home Health",Table5[Cost Subcategory],"DEPRECIATION EXPENSE",Table5[Month],"DECEMBER")</f>
        <v>0</v>
      </c>
      <c r="N48" s="43">
        <f t="shared" ref="N48" si="9">SUM(D48:M48)</f>
        <v>0</v>
      </c>
      <c r="P48" s="198"/>
    </row>
    <row r="49" spans="1:16" ht="16.5" thickTop="1" thickBot="1" x14ac:dyDescent="0.35">
      <c r="A49" s="31" t="s">
        <v>124</v>
      </c>
      <c r="B49" s="39">
        <f>SUMIFS(Table5[Expense],Table5[Service Line],"Home Health",Table5[Cost Subcategory],"DUES, FEES &amp; SUBSCRIPTIONS",Table5[Month],"JANUARY")</f>
        <v>0</v>
      </c>
      <c r="C49" s="39">
        <f>SUMIFS(Table5[Expense],Table5[Service Line],"Home Health",Table5[Cost Subcategory],"DUES, FEES &amp; SUBSCRIPTIONS",Table5[Month],"FEBRUARY")</f>
        <v>0</v>
      </c>
      <c r="D49" s="39">
        <f>SUMIFS(Table5[Expense],Table5[Service Line],"Home Health",Table5[Cost Subcategory],"DUES, FEES &amp; SUBSCRIPTIONS",Table5[Month],"MARCH")</f>
        <v>0</v>
      </c>
      <c r="E49" s="39">
        <f>SUMIFS(Table5[Expense],Table5[Service Line],"Home Health",Table5[Cost Subcategory],"DUES, FEES &amp; SUBSCRIPTIONS",Table5[Month],"APRIL")</f>
        <v>0</v>
      </c>
      <c r="F49" s="39">
        <f>SUMIFS(Table5[Expense],Table5[Service Line],"Home Health",Table5[Cost Subcategory],"DUES, FEES &amp; SUBSCRIPTIONS",Table5[Month],"MAY")</f>
        <v>0</v>
      </c>
      <c r="G49" s="39">
        <f>SUMIFS(Table5[Expense],Table5[Service Line],"Home Health",Table5[Cost Subcategory],"DUES, FEES &amp; SUBSCRIPTIONS",Table5[Month],"JUNE")</f>
        <v>0</v>
      </c>
      <c r="H49" s="39">
        <f>SUMIFS(Table5[Expense],Table5[Service Line],"Home Health",Table5[Cost Subcategory],"DUES, FEES &amp; SUBSCRIPTIONS",Table5[Month],"JULY")</f>
        <v>0</v>
      </c>
      <c r="I49" s="39">
        <f>SUMIFS(Table5[Expense],Table5[Service Line],"Home Health",Table5[Cost Subcategory],"DUES, FEES &amp; SUBSCRIPTIONS",Table5[Month],"AUGUST")</f>
        <v>0</v>
      </c>
      <c r="J49" s="39">
        <f>SUMIFS(Table5[Expense],Table5[Service Line],"Home Health",Table5[Cost Subcategory],"DUES, FEES &amp; SUBSCRIPTIONS",Table5[Month],"SEPTEMBER")</f>
        <v>0</v>
      </c>
      <c r="K49" s="39">
        <f>SUMIFS(Table5[Expense],Table5[Service Line],"Home Health",Table5[Cost Subcategory],"DUES, FEES &amp; SUBSCRIPTIONS",Table5[Month],"OCTOBER")</f>
        <v>0</v>
      </c>
      <c r="L49" s="39">
        <f>SUMIFS(Table5[Expense],Table5[Service Line],"Home Health",Table5[Cost Subcategory],"DUES, FEES &amp; SUBSCRIPTIONS",Table5[Month],"NOVEMBER")</f>
        <v>0</v>
      </c>
      <c r="M49" s="39">
        <f>SUMIFS(Table5[Expense],Table5[Service Line],"Home Health",Table5[Cost Subcategory],"DUES, FEES &amp; SUBSCRIPTIONS",Table5[Month],"DECEMBER")</f>
        <v>0</v>
      </c>
      <c r="N49" s="43">
        <f t="shared" si="5"/>
        <v>0</v>
      </c>
      <c r="P49" s="198"/>
    </row>
    <row r="50" spans="1:16" ht="16.5" thickTop="1" thickBot="1" x14ac:dyDescent="0.35">
      <c r="A50" s="31" t="s">
        <v>210</v>
      </c>
      <c r="B50" s="39">
        <f>SUMIFS(Table5[Expense],Table5[Service Line],"Home Health",Table5[Cost Subcategory],"EMPLOYEE EXPENSE-401K",Table5[Month],"JANUARY")</f>
        <v>0</v>
      </c>
      <c r="C50" s="39">
        <f>SUMIFS(Table5[Expense],Table5[Service Line],"Home Health",Table5[Cost Subcategory],"EMPLOYEE EXPENSE-401K",Table5[Month],"FEBRUARY")</f>
        <v>0</v>
      </c>
      <c r="D50" s="39">
        <f>SUMIFS(Table5[Expense],Table5[Service Line],"Home Health",Table5[Cost Subcategory],"EMPLOYEE EXPENSE-401K",Table5[Month],"MARCH")</f>
        <v>0</v>
      </c>
      <c r="E50" s="39">
        <f>SUMIFS(Table5[Expense],Table5[Service Line],"Home Health",Table5[Cost Subcategory],"EMPLOYEE EXPENSE-401K",Table5[Month],"APRIL")</f>
        <v>0</v>
      </c>
      <c r="F50" s="39">
        <f>SUMIFS(Table5[Expense],Table5[Service Line],"Home Health",Table5[Cost Subcategory],"EMPLOYEE EXPENSE-401K",Table5[Month],"MAY")</f>
        <v>0</v>
      </c>
      <c r="G50" s="39">
        <f>SUMIFS(Table5[Expense],Table5[Service Line],"Home Health",Table5[Cost Subcategory],"EMPLOYEE EXPENSE-401K",Table5[Month],"JUNE")</f>
        <v>0</v>
      </c>
      <c r="H50" s="39">
        <f>SUMIFS(Table5[Expense],Table5[Service Line],"Home Health",Table5[Cost Subcategory],"EMPLOYEE EXPENSE-401K",Table5[Month],"JULY")</f>
        <v>0</v>
      </c>
      <c r="I50" s="39">
        <f>SUMIFS(Table5[Expense],Table5[Service Line],"Home Health",Table5[Cost Subcategory],"EMPLOYEE EXPENSE-401K",Table5[Month],"AUGUST")</f>
        <v>0</v>
      </c>
      <c r="J50" s="39">
        <f>SUMIFS(Table5[Expense],Table5[Service Line],"Home Health",Table5[Cost Subcategory],"EMPLOYEE EXPENSE-401K",Table5[Month],"SEPTEMBER")</f>
        <v>0</v>
      </c>
      <c r="K50" s="39">
        <f>SUMIFS(Table5[Expense],Table5[Service Line],"Home Health",Table5[Cost Subcategory],"EMPLOYEE EXPENSE-401K",Table5[Month],"OCTOBER")</f>
        <v>0</v>
      </c>
      <c r="L50" s="39">
        <f>SUMIFS(Table5[Expense],Table5[Service Line],"Home Health",Table5[Cost Subcategory],"EMPLOYEE EXPENSE-401K",Table5[Month],"NOVEMBER")</f>
        <v>0</v>
      </c>
      <c r="M50" s="39">
        <f>SUMIFS(Table5[Expense],Table5[Service Line],"Home Health",Table5[Cost Subcategory],"EMPLOYEE EXPENSE-401K",Table5[Month],"DECEMBER")</f>
        <v>0</v>
      </c>
      <c r="N50" s="43">
        <f t="shared" ref="N50" si="10">SUM(D50:M50)</f>
        <v>0</v>
      </c>
      <c r="P50" s="198"/>
    </row>
    <row r="51" spans="1:16" ht="16.5" thickTop="1" thickBot="1" x14ac:dyDescent="0.35">
      <c r="A51" s="31" t="s">
        <v>211</v>
      </c>
      <c r="B51" s="39">
        <f>SUMIFS(Table5[Expense],Table5[Service Line],"Home Health",Table5[Cost Subcategory],"EMPLOYEE EXPENSE-BACKGROUND CKS",Table5[Month],"JANUARY")</f>
        <v>0</v>
      </c>
      <c r="C51" s="39">
        <f>SUMIFS(Table5[Expense],Table5[Service Line],"Home Health",Table5[Cost Subcategory],"EMPLOYEE EXPENSE-BACKGROUND CKS",Table5[Month],"FEBRUARY")</f>
        <v>0</v>
      </c>
      <c r="D51" s="39">
        <f>SUMIFS(Table5[Expense],Table5[Service Line],"Home Health",Table5[Cost Subcategory],"EMPLOYEE EXPENSE-BACKGROUND CKS",Table5[Month],"MARCH")</f>
        <v>0</v>
      </c>
      <c r="E51" s="39">
        <f>SUMIFS(Table5[Expense],Table5[Service Line],"Home Health",Table5[Cost Subcategory],"EMPLOYEE EXPENSE-BACKGROUND CKS",Table5[Month],"APRIL")</f>
        <v>0</v>
      </c>
      <c r="F51" s="39">
        <f>SUMIFS(Table5[Expense],Table5[Service Line],"Home Health",Table5[Cost Subcategory],"EMPLOYEE EXPENSE-BACKGROUND CKS",Table5[Month],"MAY")</f>
        <v>0</v>
      </c>
      <c r="G51" s="39">
        <f>SUMIFS(Table5[Expense],Table5[Service Line],"Home Health",Table5[Cost Subcategory],"EMPLOYEE EXPENSE-BACKGROUND CKS",Table5[Month],"JUNE")</f>
        <v>0</v>
      </c>
      <c r="H51" s="39">
        <f>SUMIFS(Table5[Expense],Table5[Service Line],"Home Health",Table5[Cost Subcategory],"EMPLOYEE EXPENSE-BACKGROUND CKS",Table5[Month],"JULY")</f>
        <v>0</v>
      </c>
      <c r="I51" s="39">
        <f>SUMIFS(Table5[Expense],Table5[Service Line],"Home Health",Table5[Cost Subcategory],"EMPLOYEE EXPENSE-BACKGROUND CKS",Table5[Month],"AUGUST")</f>
        <v>0</v>
      </c>
      <c r="J51" s="39">
        <f>SUMIFS(Table5[Expense],Table5[Service Line],"Home Health",Table5[Cost Subcategory],"EMPLOYEE EXPENSE-BACKGROUND CKS",Table5[Month],"SEPTEMBER")</f>
        <v>0</v>
      </c>
      <c r="K51" s="39">
        <f>SUMIFS(Table5[Expense],Table5[Service Line],"Home Health",Table5[Cost Subcategory],"EMPLOYEE EXPENSE-BACKGROUND CKS",Table5[Month],"OCTOBER")</f>
        <v>0</v>
      </c>
      <c r="L51" s="39">
        <f>SUMIFS(Table5[Expense],Table5[Service Line],"Home Health",Table5[Cost Subcategory],"EMPLOYEE EXPENSE-BACKGROUND CKS",Table5[Month],"NOVEMBER")</f>
        <v>0</v>
      </c>
      <c r="M51" s="39">
        <f>SUMIFS(Table5[Expense],Table5[Service Line],"Home Health",Table5[Cost Subcategory],"EMPLOYEE EXPENSE-BACKGROUND CKS",Table5[Month],"DECEMBER")</f>
        <v>0</v>
      </c>
      <c r="N51" s="43">
        <f t="shared" ref="N51:N53" si="11">SUM(D51:M51)</f>
        <v>0</v>
      </c>
      <c r="P51" s="198"/>
    </row>
    <row r="52" spans="1:16" ht="16.5" thickTop="1" thickBot="1" x14ac:dyDescent="0.35">
      <c r="A52" s="31" t="s">
        <v>212</v>
      </c>
      <c r="B52" s="39">
        <f>SUMIFS(Table5[Expense],Table5[Service Line],"Home Health",Table5[Cost Subcategory],"EMPLOYEE EXPENSE-DENTAL INS.",Table5[Month],"JANUARY")</f>
        <v>0</v>
      </c>
      <c r="C52" s="39">
        <f>SUMIFS(Table5[Expense],Table5[Service Line],"Home Health",Table5[Cost Subcategory],"EMPLOYEE EXPENSE-DENTAL INS.",Table5[Month],"FEBRUARY")</f>
        <v>0</v>
      </c>
      <c r="D52" s="39">
        <f>SUMIFS(Table5[Expense],Table5[Service Line],"Home Health",Table5[Cost Subcategory],"EMPLOYEE EXPENSE-DENTAL INS.",Table5[Month],"MARCH")</f>
        <v>0</v>
      </c>
      <c r="E52" s="39">
        <f>SUMIFS(Table5[Expense],Table5[Service Line],"Home Health",Table5[Cost Subcategory],"EMPLOYEE EXPENSE-DENTAL INS.",Table5[Month],"APRIL")</f>
        <v>0</v>
      </c>
      <c r="F52" s="39">
        <f>SUMIFS(Table5[Expense],Table5[Service Line],"Home Health",Table5[Cost Subcategory],"EMPLOYEE EXPENSE-DENTAL INS.",Table5[Month],"MAY")</f>
        <v>0</v>
      </c>
      <c r="G52" s="39">
        <f>SUMIFS(Table5[Expense],Table5[Service Line],"Home Health",Table5[Cost Subcategory],"EMPLOYEE EXPENSE-DENTAL INS.",Table5[Month],"JUNE")</f>
        <v>0</v>
      </c>
      <c r="H52" s="39">
        <f>SUMIFS(Table5[Expense],Table5[Service Line],"Home Health",Table5[Cost Subcategory],"EMPLOYEE EXPENSE-DENTAL INS.",Table5[Month],"JULY")</f>
        <v>0</v>
      </c>
      <c r="I52" s="39">
        <f>SUMIFS(Table5[Expense],Table5[Service Line],"Home Health",Table5[Cost Subcategory],"EMPLOYEE EXPENSE-DENTAL INS.",Table5[Month],"AUGUST")</f>
        <v>0</v>
      </c>
      <c r="J52" s="39">
        <f>SUMIFS(Table5[Expense],Table5[Service Line],"Home Health",Table5[Cost Subcategory],"EMPLOYEE EXPENSE-DENTAL INS.",Table5[Month],"SEPTEMBER")</f>
        <v>0</v>
      </c>
      <c r="K52" s="39">
        <f>SUMIFS(Table5[Expense],Table5[Service Line],"Home Health",Table5[Cost Subcategory],"EMPLOYEE EXPENSE-DENTAL INS.",Table5[Month],"OCTOBER")</f>
        <v>0</v>
      </c>
      <c r="L52" s="39">
        <f>SUMIFS(Table5[Expense],Table5[Service Line],"Home Health",Table5[Cost Subcategory],"EMPLOYEE EXPENSE-DENTAL INS.",Table5[Month],"NOVEMBER")</f>
        <v>0</v>
      </c>
      <c r="M52" s="39">
        <f>SUMIFS(Table5[Expense],Table5[Service Line],"Home Health",Table5[Cost Subcategory],"EMPLOYEE EXPENSE-DENTAL INS.",Table5[Month],"DECEMBER")</f>
        <v>0</v>
      </c>
      <c r="N52" s="43">
        <f t="shared" si="11"/>
        <v>0</v>
      </c>
      <c r="P52" s="198"/>
    </row>
    <row r="53" spans="1:16" ht="16.5" thickTop="1" thickBot="1" x14ac:dyDescent="0.35">
      <c r="A53" s="31" t="s">
        <v>213</v>
      </c>
      <c r="B53" s="39">
        <f>SUMIFS(Table5[Expense],Table5[Service Line],"Home Health",Table5[Cost Subcategory],"EMPLOYEE EXPENSE-HEALTH INS.",Table5[Month],"JANUARY")</f>
        <v>0</v>
      </c>
      <c r="C53" s="39">
        <f>SUMIFS(Table5[Expense],Table5[Service Line],"Home Health",Table5[Cost Subcategory],"EMPLOYEE EXPENSE-HEALTH INS.",Table5[Month],"FEBRUARY")</f>
        <v>0</v>
      </c>
      <c r="D53" s="39">
        <f>SUMIFS(Table5[Expense],Table5[Service Line],"Home Health",Table5[Cost Subcategory],"EMPLOYEE EXPENSE-HEALTH INS.",Table5[Month],"MARCH")</f>
        <v>0</v>
      </c>
      <c r="E53" s="39">
        <f>SUMIFS(Table5[Expense],Table5[Service Line],"Home Health",Table5[Cost Subcategory],"EMPLOYEE EXPENSE-HEALTH INS.",Table5[Month],"APRIL")</f>
        <v>0</v>
      </c>
      <c r="F53" s="39">
        <f>SUMIFS(Table5[Expense],Table5[Service Line],"Home Health",Table5[Cost Subcategory],"EMPLOYEE EXPENSE-HEALTH INS.",Table5[Month],"MAY")</f>
        <v>0</v>
      </c>
      <c r="G53" s="39">
        <f>SUMIFS(Table5[Expense],Table5[Service Line],"Home Health",Table5[Cost Subcategory],"EMPLOYEE EXPENSE-HEALTH INS.",Table5[Month],"JUNE")</f>
        <v>0</v>
      </c>
      <c r="H53" s="39">
        <f>SUMIFS(Table5[Expense],Table5[Service Line],"Home Health",Table5[Cost Subcategory],"EMPLOYEE EXPENSE-HEALTH INS.",Table5[Month],"JULY")</f>
        <v>0</v>
      </c>
      <c r="I53" s="39">
        <f>SUMIFS(Table5[Expense],Table5[Service Line],"Home Health",Table5[Cost Subcategory],"EMPLOYEE EXPENSE-HEALTH INS.",Table5[Month],"AUGUST")</f>
        <v>0</v>
      </c>
      <c r="J53" s="39">
        <f>SUMIFS(Table5[Expense],Table5[Service Line],"Home Health",Table5[Cost Subcategory],"EMPLOYEE EXPENSE-HEALTH INS.",Table5[Month],"SEPTEMBER")</f>
        <v>0</v>
      </c>
      <c r="K53" s="39">
        <f>SUMIFS(Table5[Expense],Table5[Service Line],"Home Health",Table5[Cost Subcategory],"EMPLOYEE EXPENSE-HEALTH INS.",Table5[Month],"OCTOBER")</f>
        <v>0</v>
      </c>
      <c r="L53" s="39">
        <f>SUMIFS(Table5[Expense],Table5[Service Line],"Home Health",Table5[Cost Subcategory],"EMPLOYEE EXPENSE-HEALTH INS.",Table5[Month],"NOVEMBER")</f>
        <v>0</v>
      </c>
      <c r="M53" s="39">
        <f>SUMIFS(Table5[Expense],Table5[Service Line],"Home Health",Table5[Cost Subcategory],"EMPLOYEE EXPENSE-HEALTH INS.",Table5[Month],"DECEMBER")</f>
        <v>0</v>
      </c>
      <c r="N53" s="43">
        <f t="shared" si="11"/>
        <v>0</v>
      </c>
      <c r="P53" s="198"/>
    </row>
    <row r="54" spans="1:16" ht="16.5" thickTop="1" thickBot="1" x14ac:dyDescent="0.35">
      <c r="A54" s="31" t="s">
        <v>424</v>
      </c>
      <c r="B54" s="39">
        <f>SUMIFS(Table5[Expense],Table5[Service Line],"Home Health",Table5[Cost Subcategory],"EMPLOYEE EXPENSE-PTO",Table5[Month],"JANUARY")</f>
        <v>0</v>
      </c>
      <c r="C54" s="39">
        <f>SUMIFS(Table5[Expense],Table5[Service Line],"Home Health",Table5[Cost Subcategory],"EMPLOYEE EXPENSE-PTO",Table5[Month],"FEBRUARY")</f>
        <v>0</v>
      </c>
      <c r="D54" s="39">
        <f>SUMIFS(Table5[Expense],Table5[Service Line],"Home Health",Table5[Cost Subcategory],"EMPLOYEE EXPENSE-PTO",Table5[Month],"MARCH")</f>
        <v>0</v>
      </c>
      <c r="E54" s="39">
        <f>SUMIFS(Table5[Expense],Table5[Service Line],"Home Health",Table5[Cost Subcategory],"EMPLOYEE EXPENSE-PTO",Table5[Month],"APRIL")</f>
        <v>0</v>
      </c>
      <c r="F54" s="39">
        <f>SUMIFS(Table5[Expense],Table5[Service Line],"Home Health",Table5[Cost Subcategory],"EMPLOYEE EXPENSE-PTO",Table5[Month],"MAY")</f>
        <v>0</v>
      </c>
      <c r="G54" s="39">
        <f>SUMIFS(Table5[Expense],Table5[Service Line],"Home Health",Table5[Cost Subcategory],"EMPLOYEE EXPENSE-PTO",Table5[Month],"JUNE")</f>
        <v>0</v>
      </c>
      <c r="H54" s="39">
        <f>SUMIFS(Table5[Expense],Table5[Service Line],"Home Health",Table5[Cost Subcategory],"EMPLOYEE EXPENSE-PTO",Table5[Month],"JULY")</f>
        <v>0</v>
      </c>
      <c r="I54" s="39">
        <f>SUMIFS(Table5[Expense],Table5[Service Line],"Home Health",Table5[Cost Subcategory],"EMPLOYEE EXPENSE-PTO",Table5[Month],"AUGUST")</f>
        <v>0</v>
      </c>
      <c r="J54" s="39">
        <f>SUMIFS(Table5[Expense],Table5[Service Line],"Home Health",Table5[Cost Subcategory],"EMPLOYEE EXPENSE-PTO",Table5[Month],"SEPTEMBER")</f>
        <v>0</v>
      </c>
      <c r="K54" s="39">
        <f>SUMIFS(Table5[Expense],Table5[Service Line],"Home Health",Table5[Cost Subcategory],"EMPLOYEE EXPENSE-PTO",Table5[Month],"OCTOBER")</f>
        <v>0</v>
      </c>
      <c r="L54" s="39">
        <f>SUMIFS(Table5[Expense],Table5[Service Line],"Home Health",Table5[Cost Subcategory],"EMPLOYEE EXPENSE-PTO",Table5[Month],"NOVEMBER")</f>
        <v>0</v>
      </c>
      <c r="M54" s="39">
        <f>SUMIFS(Table5[Expense],Table5[Service Line],"Home Health",Table5[Cost Subcategory],"EMPLOYEE EXPENSE-PTO",Table5[Month],"DECEMBER")</f>
        <v>0</v>
      </c>
      <c r="N54" s="43">
        <f>SUM(D54:M54)</f>
        <v>0</v>
      </c>
      <c r="P54" s="198"/>
    </row>
    <row r="55" spans="1:16" ht="16.5" thickTop="1" thickBot="1" x14ac:dyDescent="0.35">
      <c r="A55" s="31" t="s">
        <v>425</v>
      </c>
      <c r="B55" s="39">
        <f>SUMIFS(Table5[Expense],Table5[Service Line],"Home Health",Table5[Cost Subcategory],"EMPLOYEE EXPENSE-TAXES",Table5[Month],"JANUARY")</f>
        <v>0</v>
      </c>
      <c r="C55" s="39">
        <f>SUMIFS(Table5[Expense],Table5[Service Line],"Home Health",Table5[Cost Subcategory],"EMPLOYEE EXPENSE-TAXES",Table5[Month],"FEBRUARY")</f>
        <v>0</v>
      </c>
      <c r="D55" s="39">
        <f>SUMIFS(Table5[Expense],Table5[Service Line],"Home Health",Table5[Cost Subcategory],"EMPLOYEE EXPENSE-TAXES",Table5[Month],"MARCH")</f>
        <v>0</v>
      </c>
      <c r="E55" s="39">
        <f>SUMIFS(Table5[Expense],Table5[Service Line],"Home Health",Table5[Cost Subcategory],"EMPLOYEE EXPENSE-TAXES",Table5[Month],"APRIL")</f>
        <v>0</v>
      </c>
      <c r="F55" s="39">
        <f>SUMIFS(Table5[Expense],Table5[Service Line],"Home Health",Table5[Cost Subcategory],"EMPLOYEE EXPENSE-TAXES",Table5[Month],"MAY")</f>
        <v>0</v>
      </c>
      <c r="G55" s="39">
        <f>SUMIFS(Table5[Expense],Table5[Service Line],"Home Health",Table5[Cost Subcategory],"EMPLOYEE EXPENSE-TAXES",Table5[Month],"JUNE")</f>
        <v>0</v>
      </c>
      <c r="H55" s="39">
        <f>SUMIFS(Table5[Expense],Table5[Service Line],"Home Health",Table5[Cost Subcategory],"EMPLOYEE EXPENSE-TAXES",Table5[Month],"JULY")</f>
        <v>0</v>
      </c>
      <c r="I55" s="39">
        <f>SUMIFS(Table5[Expense],Table5[Service Line],"Home Health",Table5[Cost Subcategory],"EMPLOYEE EXPENSE-TAXES",Table5[Month],"AUGUST")</f>
        <v>0</v>
      </c>
      <c r="J55" s="39">
        <f>SUMIFS(Table5[Expense],Table5[Service Line],"Home Health",Table5[Cost Subcategory],"EMPLOYEE EXPENSE-TAXES",Table5[Month],"SEPTEMBER")</f>
        <v>0</v>
      </c>
      <c r="K55" s="39">
        <f>SUMIFS(Table5[Expense],Table5[Service Line],"Home Health",Table5[Cost Subcategory],"EMPLOYEE EXPENSE-TAXES",Table5[Month],"OCTOBER")</f>
        <v>0</v>
      </c>
      <c r="L55" s="39">
        <f>SUMIFS(Table5[Expense],Table5[Service Line],"Home Health",Table5[Cost Subcategory],"EMPLOYEE EXPENSE-TAXES",Table5[Month],"NOVEMBER")</f>
        <v>0</v>
      </c>
      <c r="M55" s="39">
        <f>SUMIFS(Table5[Expense],Table5[Service Line],"Home Health",Table5[Cost Subcategory],"EMPLOYEE EXPENSE-TAXES",Table5[Month],"DECEMBER")</f>
        <v>0</v>
      </c>
      <c r="N55" s="43">
        <f>SUM(D55:M55)</f>
        <v>0</v>
      </c>
      <c r="P55" s="198"/>
    </row>
    <row r="56" spans="1:16" ht="16.5" thickTop="1" thickBot="1" x14ac:dyDescent="0.35">
      <c r="A56" s="31" t="s">
        <v>214</v>
      </c>
      <c r="B56" s="39">
        <f>SUMIFS(Table5[Expense],Table5[Service Line],"Home Health",Table5[Cost Subcategory],"EMPLOYEE EXPENSE-TRAINING",Table5[Month],"JANUARY")</f>
        <v>0</v>
      </c>
      <c r="C56" s="39">
        <f>SUMIFS(Table5[Expense],Table5[Service Line],"Home Health",Table5[Cost Subcategory],"EMPLOYEE EXPENSE-TRAINING",Table5[Month],"FEBRUARY")</f>
        <v>0</v>
      </c>
      <c r="D56" s="39">
        <f>SUMIFS(Table5[Expense],Table5[Service Line],"Home Health",Table5[Cost Subcategory],"EMPLOYEE EXPENSE-TRAINING",Table5[Month],"MARCH")</f>
        <v>0</v>
      </c>
      <c r="E56" s="39">
        <f>SUMIFS(Table5[Expense],Table5[Service Line],"Home Health",Table5[Cost Subcategory],"EMPLOYEE EXPENSE-TRAINING",Table5[Month],"APRIL")</f>
        <v>0</v>
      </c>
      <c r="F56" s="39">
        <f>SUMIFS(Table5[Expense],Table5[Service Line],"Home Health",Table5[Cost Subcategory],"EMPLOYEE EXPENSE-TRAINING",Table5[Month],"MAY")</f>
        <v>0</v>
      </c>
      <c r="G56" s="39">
        <f>SUMIFS(Table5[Expense],Table5[Service Line],"Home Health",Table5[Cost Subcategory],"EMPLOYEE EXPENSE-TRAINING",Table5[Month],"JUNE")</f>
        <v>0</v>
      </c>
      <c r="H56" s="39">
        <f>SUMIFS(Table5[Expense],Table5[Service Line],"Home Health",Table5[Cost Subcategory],"EMPLOYEE EXPENSE-TRAINING",Table5[Month],"JULY")</f>
        <v>0</v>
      </c>
      <c r="I56" s="39">
        <f>SUMIFS(Table5[Expense],Table5[Service Line],"Home Health",Table5[Cost Subcategory],"EMPLOYEE EXPENSE-TRAINING",Table5[Month],"AUGUST")</f>
        <v>0</v>
      </c>
      <c r="J56" s="39">
        <f>SUMIFS(Table5[Expense],Table5[Service Line],"Home Health",Table5[Cost Subcategory],"EMPLOYEE EXPENSE-TRAINING",Table5[Month],"SEPTEMBER")</f>
        <v>0</v>
      </c>
      <c r="K56" s="39">
        <f>SUMIFS(Table5[Expense],Table5[Service Line],"Home Health",Table5[Cost Subcategory],"EMPLOYEE EXPENSE-TRAINING",Table5[Month],"OCTOBER")</f>
        <v>0</v>
      </c>
      <c r="L56" s="39">
        <f>SUMIFS(Table5[Expense],Table5[Service Line],"Home Health",Table5[Cost Subcategory],"EMPLOYEE EXPENSE-TRAINING",Table5[Month],"NOVEMBER")</f>
        <v>0</v>
      </c>
      <c r="M56" s="39">
        <f>SUMIFS(Table5[Expense],Table5[Service Line],"Home Health",Table5[Cost Subcategory],"EMPLOYEE EXPENSE-TRAINING",Table5[Month],"DECEMBER")</f>
        <v>0</v>
      </c>
      <c r="N56" s="43">
        <f t="shared" si="5"/>
        <v>0</v>
      </c>
      <c r="P56" s="198"/>
    </row>
    <row r="57" spans="1:16" ht="16.5" thickTop="1" thickBot="1" x14ac:dyDescent="0.35">
      <c r="A57" s="31" t="s">
        <v>215</v>
      </c>
      <c r="B57" s="39">
        <f>SUMIFS(Table5[Expense],Table5[Service Line],"Home Health",Table5[Cost Subcategory],"EMPLOYEE EXPENSE-VACCINES",Table5[Month],"JANUARY")</f>
        <v>0</v>
      </c>
      <c r="C57" s="39">
        <f>SUMIFS(Table5[Expense],Table5[Service Line],"Home Health",Table5[Cost Subcategory],"EMPLOYEE EXPENSE-VACCINES",Table5[Month],"FEBRUARY")</f>
        <v>0</v>
      </c>
      <c r="D57" s="39">
        <f>SUMIFS(Table5[Expense],Table5[Service Line],"Home Health",Table5[Cost Subcategory],"EMPLOYEE EXPENSE-VACCINES",Table5[Month],"MARCH")</f>
        <v>0</v>
      </c>
      <c r="E57" s="39">
        <f>SUMIFS(Table5[Expense],Table5[Service Line],"Home Health",Table5[Cost Subcategory],"EMPLOYEE EXPENSE-VACCINES",Table5[Month],"APRIL")</f>
        <v>0</v>
      </c>
      <c r="F57" s="39">
        <f>SUMIFS(Table5[Expense],Table5[Service Line],"Home Health",Table5[Cost Subcategory],"EMPLOYEE EXPENSE-VACCINES",Table5[Month],"MAY")</f>
        <v>0</v>
      </c>
      <c r="G57" s="39">
        <f>SUMIFS(Table5[Expense],Table5[Service Line],"Home Health",Table5[Cost Subcategory],"EMPLOYEE EXPENSE-VACCINES",Table5[Month],"JUNE")</f>
        <v>0</v>
      </c>
      <c r="H57" s="39">
        <f>SUMIFS(Table5[Expense],Table5[Service Line],"Home Health",Table5[Cost Subcategory],"EMPLOYEE EXPENSE-VACCINES",Table5[Month],"JULY")</f>
        <v>0</v>
      </c>
      <c r="I57" s="39">
        <f>SUMIFS(Table5[Expense],Table5[Service Line],"Home Health",Table5[Cost Subcategory],"EMPLOYEE EXPENSE-VACCINES",Table5[Month],"AUGUST")</f>
        <v>0</v>
      </c>
      <c r="J57" s="39">
        <f>SUMIFS(Table5[Expense],Table5[Service Line],"Home Health",Table5[Cost Subcategory],"EMPLOYEE EXPENSE-VACCINES",Table5[Month],"SEPTEMBER")</f>
        <v>0</v>
      </c>
      <c r="K57" s="39">
        <f>SUMIFS(Table5[Expense],Table5[Service Line],"Home Health",Table5[Cost Subcategory],"EMPLOYEE EXPENSE-VACCINES",Table5[Month],"OCTOBER")</f>
        <v>0</v>
      </c>
      <c r="L57" s="39">
        <f>SUMIFS(Table5[Expense],Table5[Service Line],"Home Health",Table5[Cost Subcategory],"EMPLOYEE EXPENSE-VACCINES",Table5[Month],"NOVEMBER")</f>
        <v>0</v>
      </c>
      <c r="M57" s="39">
        <f>SUMIFS(Table5[Expense],Table5[Service Line],"Home Health",Table5[Cost Subcategory],"EMPLOYEE EXPENSE-VACCINES",Table5[Month],"DECEMBER")</f>
        <v>0</v>
      </c>
      <c r="N57" s="43">
        <f t="shared" si="5"/>
        <v>0</v>
      </c>
      <c r="P57" s="198"/>
    </row>
    <row r="58" spans="1:16" ht="16.5" thickTop="1" thickBot="1" x14ac:dyDescent="0.35">
      <c r="A58" s="31" t="s">
        <v>216</v>
      </c>
      <c r="B58" s="39">
        <f>SUMIFS(Table5[Expense],Table5[Service Line],"Home Health",Table5[Cost Subcategory],"EMPLOYEE EXPENSE-UNIFORMS",Table5[Month],"JANUARY")</f>
        <v>0</v>
      </c>
      <c r="C58" s="39">
        <f>SUMIFS(Table5[Expense],Table5[Service Line],"Home Health",Table5[Cost Subcategory],"EMPLOYEE EXPENSE-UNIFORMS",Table5[Month],"FEBRUARY")</f>
        <v>0</v>
      </c>
      <c r="D58" s="39">
        <f>SUMIFS(Table5[Expense],Table5[Service Line],"Home Health",Table5[Cost Subcategory],"EMPLOYEE EXPENSE-UNIFORMS",Table5[Month],"MARCH")</f>
        <v>0</v>
      </c>
      <c r="E58" s="39">
        <f>SUMIFS(Table5[Expense],Table5[Service Line],"Home Health",Table5[Cost Subcategory],"EMPLOYEE EXPENSE-UNIFORMS",Table5[Month],"APRIL")</f>
        <v>0</v>
      </c>
      <c r="F58" s="39">
        <f>SUMIFS(Table5[Expense],Table5[Service Line],"Home Health",Table5[Cost Subcategory],"EMPLOYEE EXPENSE-UNIFORMS",Table5[Month],"MAY")</f>
        <v>0</v>
      </c>
      <c r="G58" s="39">
        <f>SUMIFS(Table5[Expense],Table5[Service Line],"Home Health",Table5[Cost Subcategory],"EMPLOYEE EXPENSE-UNIFORMS",Table5[Month],"JUNE")</f>
        <v>0</v>
      </c>
      <c r="H58" s="39">
        <f>SUMIFS(Table5[Expense],Table5[Service Line],"Home Health",Table5[Cost Subcategory],"EMPLOYEE EXPENSE-UNIFORMS",Table5[Month],"JULY")</f>
        <v>0</v>
      </c>
      <c r="I58" s="39">
        <f>SUMIFS(Table5[Expense],Table5[Service Line],"Home Health",Table5[Cost Subcategory],"EMPLOYEE EXPENSE-UNIFORMS",Table5[Month],"AUGUST")</f>
        <v>0</v>
      </c>
      <c r="J58" s="39">
        <f>SUMIFS(Table5[Expense],Table5[Service Line],"Home Health",Table5[Cost Subcategory],"EMPLOYEE EXPENSE-UNIFORMS",Table5[Month],"SEPTEMBER")</f>
        <v>0</v>
      </c>
      <c r="K58" s="39">
        <f>SUMIFS(Table5[Expense],Table5[Service Line],"Home Health",Table5[Cost Subcategory],"EMPLOYEE EXPENSE-UNIFORMS",Table5[Month],"OCTOBER")</f>
        <v>0</v>
      </c>
      <c r="L58" s="39">
        <f>SUMIFS(Table5[Expense],Table5[Service Line],"Home Health",Table5[Cost Subcategory],"EMPLOYEE EXPENSE-UNIFORMS",Table5[Month],"NOVEMBER")</f>
        <v>0</v>
      </c>
      <c r="M58" s="39">
        <f>SUMIFS(Table5[Expense],Table5[Service Line],"Home Health",Table5[Cost Subcategory],"EMPLOYEE EXPENSE-UNIFORMS",Table5[Month],"DECEMBER")</f>
        <v>0</v>
      </c>
      <c r="N58" s="43">
        <f t="shared" si="5"/>
        <v>0</v>
      </c>
      <c r="P58" s="198"/>
    </row>
    <row r="59" spans="1:16" ht="16.5" thickTop="1" thickBot="1" x14ac:dyDescent="0.35">
      <c r="A59" s="31" t="s">
        <v>118</v>
      </c>
      <c r="B59" s="39">
        <f>SUMIFS(Table5[Expense],Table5[Service Line],"Home Health",Table5[Cost Subcategory],"IMAGING",Table5[Month],"JANUARY")</f>
        <v>0</v>
      </c>
      <c r="C59" s="39">
        <f>SUMIFS(Table5[Expense],Table5[Service Line],"Home Health",Table5[Cost Subcategory],"IMAGING",Table5[Month],"FEBRUARY")</f>
        <v>0</v>
      </c>
      <c r="D59" s="39">
        <f>SUMIFS(Table5[Expense],Table5[Service Line],"Home Health",Table5[Cost Subcategory],"IMAGING",Table5[Month],"MARCH")</f>
        <v>0</v>
      </c>
      <c r="E59" s="39">
        <f>SUMIFS(Table5[Expense],Table5[Service Line],"Home Health",Table5[Cost Subcategory],"IMAGING",Table5[Month],"APRIL")</f>
        <v>0</v>
      </c>
      <c r="F59" s="39">
        <f>SUMIFS(Table5[Expense],Table5[Service Line],"Home Health",Table5[Cost Subcategory],"IMAGING",Table5[Month],"MAY")</f>
        <v>0</v>
      </c>
      <c r="G59" s="39">
        <f>SUMIFS(Table5[Expense],Table5[Service Line],"Home Health",Table5[Cost Subcategory],"IMAGING",Table5[Month],"JUNE")</f>
        <v>0</v>
      </c>
      <c r="H59" s="39">
        <f>SUMIFS(Table5[Expense],Table5[Service Line],"Home Health",Table5[Cost Subcategory],"IMAGING",Table5[Month],"JULY")</f>
        <v>0</v>
      </c>
      <c r="I59" s="39">
        <f>SUMIFS(Table5[Expense],Table5[Service Line],"Home Health",Table5[Cost Subcategory],"IMAGING",Table5[Month],"AUGUST")</f>
        <v>0</v>
      </c>
      <c r="J59" s="39">
        <f>SUMIFS(Table5[Expense],Table5[Service Line],"Home Health",Table5[Cost Subcategory],"IMAGING",Table5[Month],"SEPTEMBER")</f>
        <v>0</v>
      </c>
      <c r="K59" s="39">
        <f>SUMIFS(Table5[Expense],Table5[Service Line],"Home Health",Table5[Cost Subcategory],"IMAGING",Table5[Month],"OCTOBER")</f>
        <v>0</v>
      </c>
      <c r="L59" s="39">
        <f>SUMIFS(Table5[Expense],Table5[Service Line],"Home Health",Table5[Cost Subcategory],"IMAGING",Table5[Month],"NOVEMBER")</f>
        <v>0</v>
      </c>
      <c r="M59" s="39">
        <f>SUMIFS(Table5[Expense],Table5[Service Line],"Home Health",Table5[Cost Subcategory],"IMAGING",Table5[Month],"DECEMBER")</f>
        <v>0</v>
      </c>
      <c r="N59" s="43">
        <f>SUM(D59:M59)</f>
        <v>0</v>
      </c>
      <c r="P59" s="198"/>
    </row>
    <row r="60" spans="1:16" ht="16.5" thickTop="1" thickBot="1" x14ac:dyDescent="0.35">
      <c r="A60" s="31" t="s">
        <v>324</v>
      </c>
      <c r="B60" s="39">
        <f>SUMIFS(Table5[Expense],Table5[Service Line],"Home Health",Table5[Cost Subcategory],"INS-WORKERS COMP",Table5[Month],"JANUARY")</f>
        <v>0</v>
      </c>
      <c r="C60" s="39">
        <f>SUMIFS(Table5[Expense],Table5[Service Line],"Home Health",Table5[Cost Subcategory],"INS-WORKERS COMP",Table5[Month],"FEBRUARY")</f>
        <v>0</v>
      </c>
      <c r="D60" s="39">
        <f>SUMIFS(Table5[Expense],Table5[Service Line],"Home Health",Table5[Cost Subcategory],"INS-WORKERS COMP",Table5[Month],"MARCH")</f>
        <v>0</v>
      </c>
      <c r="E60" s="39">
        <f>SUMIFS(Table5[Expense],Table5[Service Line],"Home Health",Table5[Cost Subcategory],"INS-WORKERS COMP",Table5[Month],"APRIL")</f>
        <v>0</v>
      </c>
      <c r="F60" s="39">
        <f>SUMIFS(Table5[Expense],Table5[Service Line],"Home Health",Table5[Cost Subcategory],"INS-WORKERS COMP",Table5[Month],"MAY")</f>
        <v>0</v>
      </c>
      <c r="G60" s="39">
        <f>SUMIFS(Table5[Expense],Table5[Service Line],"Home Health",Table5[Cost Subcategory],"INS-WORKERS COMP",Table5[Month],"JUNE")</f>
        <v>0</v>
      </c>
      <c r="H60" s="39">
        <f>SUMIFS(Table5[Expense],Table5[Service Line],"Home Health",Table5[Cost Subcategory],"INS-WORKERS COMP",Table5[Month],"JULY")</f>
        <v>0</v>
      </c>
      <c r="I60" s="39">
        <f>SUMIFS(Table5[Expense],Table5[Service Line],"Home Health",Table5[Cost Subcategory],"INS-WORKERS COMP",Table5[Month],"AUGUST")</f>
        <v>0</v>
      </c>
      <c r="J60" s="39">
        <f>SUMIFS(Table5[Expense],Table5[Service Line],"Home Health",Table5[Cost Subcategory],"INS-WORKERS COMP",Table5[Month],"SEPTEMBER")</f>
        <v>0</v>
      </c>
      <c r="K60" s="39">
        <f>SUMIFS(Table5[Expense],Table5[Service Line],"Home Health",Table5[Cost Subcategory],"INS-WORKERS COMP",Table5[Month],"OCTOBER")</f>
        <v>0</v>
      </c>
      <c r="L60" s="39">
        <f>SUMIFS(Table5[Expense],Table5[Service Line],"Home Health",Table5[Cost Subcategory],"INS-WORKERS COMP",Table5[Month],"NOVEMBER")</f>
        <v>0</v>
      </c>
      <c r="M60" s="39">
        <f>SUMIFS(Table5[Expense],Table5[Service Line],"Home Health",Table5[Cost Subcategory],"INS-WORKERS COMP",Table5[Month],"DECEMBER")</f>
        <v>0</v>
      </c>
      <c r="N60" s="43">
        <f t="shared" ref="N60" si="12">SUM(D60:M60)</f>
        <v>0</v>
      </c>
      <c r="P60" s="198"/>
    </row>
    <row r="61" spans="1:16" ht="16.5" thickTop="1" thickBot="1" x14ac:dyDescent="0.35">
      <c r="A61" s="31" t="s">
        <v>120</v>
      </c>
      <c r="B61" s="39">
        <f>SUMIFS(Table5[Expense],Table5[Service Line],"Home Health",Table5[Cost Subcategory],"IPU-LAUNDRY",Table5[Month],"JANUARY")</f>
        <v>0</v>
      </c>
      <c r="C61" s="39">
        <f>SUMIFS(Table5[Expense],Table5[Service Line],"Home Health",Table5[Cost Subcategory],"IPU-LAUNDRY",Table5[Month],"FEBRUARY")</f>
        <v>0</v>
      </c>
      <c r="D61" s="39">
        <f>SUMIFS(Table5[Expense],Table5[Service Line],"Home Health",Table5[Cost Subcategory],"IPU-LAUNDRY",Table5[Month],"MARCH")</f>
        <v>0</v>
      </c>
      <c r="E61" s="39">
        <f>SUMIFS(Table5[Expense],Table5[Service Line],"Home Health",Table5[Cost Subcategory],"IPU-LAUNDRY",Table5[Month],"APRIL")</f>
        <v>0</v>
      </c>
      <c r="F61" s="39">
        <f>SUMIFS(Table5[Expense],Table5[Service Line],"Home Health",Table5[Cost Subcategory],"IPU-LAUNDRY",Table5[Month],"MAY")</f>
        <v>0</v>
      </c>
      <c r="G61" s="39">
        <f>SUMIFS(Table5[Expense],Table5[Service Line],"Home Health",Table5[Cost Subcategory],"IPU-LAUNDRY",Table5[Month],"JUNE")</f>
        <v>0</v>
      </c>
      <c r="H61" s="39">
        <f>SUMIFS(Table5[Expense],Table5[Service Line],"Home Health",Table5[Cost Subcategory],"IPU-LAUNDRY",Table5[Month],"JULY")</f>
        <v>0</v>
      </c>
      <c r="I61" s="39">
        <f>SUMIFS(Table5[Expense],Table5[Service Line],"Home Health",Table5[Cost Subcategory],"IPU-LAUNDRY",Table5[Month],"AUGUST")</f>
        <v>0</v>
      </c>
      <c r="J61" s="39">
        <f>SUMIFS(Table5[Expense],Table5[Service Line],"Home Health",Table5[Cost Subcategory],"IPU-LAUNDRY",Table5[Month],"SEPTEMBER")</f>
        <v>0</v>
      </c>
      <c r="K61" s="39">
        <f>SUMIFS(Table5[Expense],Table5[Service Line],"Home Health",Table5[Cost Subcategory],"IPU-LAUNDRY",Table5[Month],"OCTOBER")</f>
        <v>0</v>
      </c>
      <c r="L61" s="39">
        <f>SUMIFS(Table5[Expense],Table5[Service Line],"Home Health",Table5[Cost Subcategory],"IPU-LAUNDRY",Table5[Month],"NOVEMBER")</f>
        <v>0</v>
      </c>
      <c r="M61" s="39">
        <f>SUMIFS(Table5[Expense],Table5[Service Line],"Home Health",Table5[Cost Subcategory],"IPU-LAUNDRY",Table5[Month],"DECEMBER")</f>
        <v>0</v>
      </c>
      <c r="N61" s="43">
        <f t="shared" si="5"/>
        <v>0</v>
      </c>
      <c r="P61" s="198"/>
    </row>
    <row r="62" spans="1:16" ht="16.5" thickTop="1" thickBot="1" x14ac:dyDescent="0.35">
      <c r="A62" s="31" t="s">
        <v>121</v>
      </c>
      <c r="B62" s="39">
        <f>SUMIFS(Table5[Expense],Table5[Service Line],"Home Health",Table5[Cost Subcategory],"IPU-HOUSEKEEPING",Table5[Month],"JANUARY")</f>
        <v>0</v>
      </c>
      <c r="C62" s="39">
        <f>SUMIFS(Table5[Expense],Table5[Service Line],"Home Health",Table5[Cost Subcategory],"IPU-HOUSEKEEPING",Table5[Month],"FEBRUARY")</f>
        <v>0</v>
      </c>
      <c r="D62" s="39">
        <f>SUMIFS(Table5[Expense],Table5[Service Line],"Home Health",Table5[Cost Subcategory],"IPU-HOUSEKEEPING",Table5[Month],"MARCH")</f>
        <v>0</v>
      </c>
      <c r="E62" s="39">
        <f>SUMIFS(Table5[Expense],Table5[Service Line],"Home Health",Table5[Cost Subcategory],"IPU-HOUSEKEEPING",Table5[Month],"APRIL")</f>
        <v>0</v>
      </c>
      <c r="F62" s="39">
        <f>SUMIFS(Table5[Expense],Table5[Service Line],"Home Health",Table5[Cost Subcategory],"IPU-HOUSEKEEPING",Table5[Month],"MAY")</f>
        <v>0</v>
      </c>
      <c r="G62" s="39">
        <f>SUMIFS(Table5[Expense],Table5[Service Line],"Home Health",Table5[Cost Subcategory],"IPU-HOUSEKEEPING",Table5[Month],"JUNE")</f>
        <v>0</v>
      </c>
      <c r="H62" s="39">
        <f>SUMIFS(Table5[Expense],Table5[Service Line],"Home Health",Table5[Cost Subcategory],"IPU-HOUSEKEEPING",Table5[Month],"JULY")</f>
        <v>0</v>
      </c>
      <c r="I62" s="39">
        <f>SUMIFS(Table5[Expense],Table5[Service Line],"Home Health",Table5[Cost Subcategory],"IPU-HOUSEKEEPING",Table5[Month],"AUGUST")</f>
        <v>0</v>
      </c>
      <c r="J62" s="39">
        <f>SUMIFS(Table5[Expense],Table5[Service Line],"Home Health",Table5[Cost Subcategory],"IPU-HOUSEKEEPING",Table5[Month],"SEPTEMBER")</f>
        <v>0</v>
      </c>
      <c r="K62" s="39">
        <f>SUMIFS(Table5[Expense],Table5[Service Line],"Home Health",Table5[Cost Subcategory],"IPU-HOUSEKEEPING",Table5[Month],"OCTOBER")</f>
        <v>0</v>
      </c>
      <c r="L62" s="39">
        <f>SUMIFS(Table5[Expense],Table5[Service Line],"Home Health",Table5[Cost Subcategory],"IPU-HOUSEKEEPING",Table5[Month],"NOVEMBER")</f>
        <v>0</v>
      </c>
      <c r="M62" s="39">
        <f>SUMIFS(Table5[Expense],Table5[Service Line],"Home Health",Table5[Cost Subcategory],"IPU-HOUSEKEEPING",Table5[Month],"DECEMBER")</f>
        <v>0</v>
      </c>
      <c r="N62" s="43">
        <f t="shared" si="5"/>
        <v>0</v>
      </c>
      <c r="P62" s="198"/>
    </row>
    <row r="63" spans="1:16" ht="16.5" thickTop="1" thickBot="1" x14ac:dyDescent="0.35">
      <c r="A63" s="31" t="s">
        <v>122</v>
      </c>
      <c r="B63" s="39">
        <f>SUMIFS(Table5[Expense],Table5[Service Line],"Home Health",Table5[Cost Subcategory],"IPU-DIETARY",Table5[Month],"JANUARY")</f>
        <v>0</v>
      </c>
      <c r="C63" s="39">
        <f>SUMIFS(Table5[Expense],Table5[Service Line],"Home Health",Table5[Cost Subcategory],"IPU-DIETARY",Table5[Month],"FEBRUARY")</f>
        <v>0</v>
      </c>
      <c r="D63" s="39">
        <f>SUMIFS(Table5[Expense],Table5[Service Line],"Home Health",Table5[Cost Subcategory],"IPU-DIETARY",Table5[Month],"MARCH")</f>
        <v>0</v>
      </c>
      <c r="E63" s="39">
        <f>SUMIFS(Table5[Expense],Table5[Service Line],"Home Health",Table5[Cost Subcategory],"IPU-DIETARY",Table5[Month],"APRIL")</f>
        <v>0</v>
      </c>
      <c r="F63" s="39">
        <f>SUMIFS(Table5[Expense],Table5[Service Line],"Home Health",Table5[Cost Subcategory],"IPU-DIETARY",Table5[Month],"MAY")</f>
        <v>0</v>
      </c>
      <c r="G63" s="39">
        <f>SUMIFS(Table5[Expense],Table5[Service Line],"Home Health",Table5[Cost Subcategory],"IPU-DIETARY",Table5[Month],"JUNE")</f>
        <v>0</v>
      </c>
      <c r="H63" s="39">
        <f>SUMIFS(Table5[Expense],Table5[Service Line],"Home Health",Table5[Cost Subcategory],"IPU-DIETARY",Table5[Month],"JULY")</f>
        <v>0</v>
      </c>
      <c r="I63" s="39">
        <f>SUMIFS(Table5[Expense],Table5[Service Line],"Home Health",Table5[Cost Subcategory],"IPU-DIETARY",Table5[Month],"AUGUST")</f>
        <v>0</v>
      </c>
      <c r="J63" s="39">
        <f>SUMIFS(Table5[Expense],Table5[Service Line],"Home Health",Table5[Cost Subcategory],"IPU-DIETARY",Table5[Month],"SEPTEMBER")</f>
        <v>0</v>
      </c>
      <c r="K63" s="39">
        <f>SUMIFS(Table5[Expense],Table5[Service Line],"Home Health",Table5[Cost Subcategory],"IPU-DIETARY",Table5[Month],"OCTOBER")</f>
        <v>0</v>
      </c>
      <c r="L63" s="39">
        <f>SUMIFS(Table5[Expense],Table5[Service Line],"Home Health",Table5[Cost Subcategory],"IPU-DIETARY",Table5[Month],"NOVEMBER")</f>
        <v>0</v>
      </c>
      <c r="M63" s="39">
        <f>SUMIFS(Table5[Expense],Table5[Service Line],"Home Health",Table5[Cost Subcategory],"IPU-DIETARY",Table5[Month],"DECEMBER")</f>
        <v>0</v>
      </c>
      <c r="N63" s="43">
        <f t="shared" si="5"/>
        <v>0</v>
      </c>
      <c r="P63" s="198"/>
    </row>
    <row r="64" spans="1:16" ht="16.5" thickTop="1" thickBot="1" x14ac:dyDescent="0.35">
      <c r="A64" s="31" t="s">
        <v>102</v>
      </c>
      <c r="B64" s="39">
        <f>SUMIFS(Table5[Expense],Table5[Service Line],"Home Health",Table5[Cost Subcategory],"JANITORIAL/SECURITY",Table5[Month],"JANUARY")</f>
        <v>0</v>
      </c>
      <c r="C64" s="39">
        <f>SUMIFS(Table5[Expense],Table5[Service Line],"Home Health",Table5[Cost Subcategory],"JANITORIAL/SECURITY",Table5[Month],"FEBRUARY")</f>
        <v>0</v>
      </c>
      <c r="D64" s="39">
        <f>SUMIFS(Table5[Expense],Table5[Service Line],"Home Health",Table5[Cost Subcategory],"JANITORIAL/SECURITY",Table5[Month],"MARCH")</f>
        <v>0</v>
      </c>
      <c r="E64" s="39">
        <f>SUMIFS(Table5[Expense],Table5[Service Line],"Home Health",Table5[Cost Subcategory],"JANITORIAL/SECURITY",Table5[Month],"APRIL")</f>
        <v>0</v>
      </c>
      <c r="F64" s="39">
        <f>SUMIFS(Table5[Expense],Table5[Service Line],"Home Health",Table5[Cost Subcategory],"JANITORIAL/SECURITY",Table5[Month],"MAY")</f>
        <v>0</v>
      </c>
      <c r="G64" s="39">
        <f>SUMIFS(Table5[Expense],Table5[Service Line],"Home Health",Table5[Cost Subcategory],"JANITORIAL/SECURITY",Table5[Month],"JUNE")</f>
        <v>0</v>
      </c>
      <c r="H64" s="39">
        <f>SUMIFS(Table5[Expense],Table5[Service Line],"Home Health",Table5[Cost Subcategory],"JANITORIAL/SECURITY",Table5[Month],"JULY")</f>
        <v>0</v>
      </c>
      <c r="I64" s="39">
        <f>SUMIFS(Table5[Expense],Table5[Service Line],"Home Health",Table5[Cost Subcategory],"JANITORIAL/SECURITY",Table5[Month],"AUGUST")</f>
        <v>0</v>
      </c>
      <c r="J64" s="39">
        <f>SUMIFS(Table5[Expense],Table5[Service Line],"Home Health",Table5[Cost Subcategory],"JANITORIAL/SECURITY",Table5[Month],"SEPTEMBER")</f>
        <v>0</v>
      </c>
      <c r="K64" s="39">
        <f>SUMIFS(Table5[Expense],Table5[Service Line],"Home Health",Table5[Cost Subcategory],"JANITORIAL/SECURITY",Table5[Month],"OCTOBER")</f>
        <v>0</v>
      </c>
      <c r="L64" s="39">
        <f>SUMIFS(Table5[Expense],Table5[Service Line],"Home Health",Table5[Cost Subcategory],"JANITORIAL/SECURITY",Table5[Month],"NOVEMBER")</f>
        <v>0</v>
      </c>
      <c r="M64" s="39">
        <f>SUMIFS(Table5[Expense],Table5[Service Line],"Home Health",Table5[Cost Subcategory],"JANITORIAL/SECURITY",Table5[Month],"DECEMBER")</f>
        <v>0</v>
      </c>
      <c r="N64" s="43">
        <f>SUM(D64:M64)</f>
        <v>0</v>
      </c>
      <c r="P64" s="198"/>
    </row>
    <row r="65" spans="1:16" ht="16.5" thickTop="1" thickBot="1" x14ac:dyDescent="0.35">
      <c r="A65" s="31" t="s">
        <v>119</v>
      </c>
      <c r="B65" s="39">
        <f>SUMIFS(Table5[Expense],Table5[Service Line],"Home Health",Table5[Cost Subcategory],"LAB &amp; DIAGNOSTICS",Table5[Month],"JANUARY")</f>
        <v>0</v>
      </c>
      <c r="C65" s="39">
        <f>SUMIFS(Table5[Expense],Table5[Service Line],"Home Health",Table5[Cost Subcategory],"LAB &amp; DIAGNOSTICS",Table5[Month],"FEBRUARY")</f>
        <v>0</v>
      </c>
      <c r="D65" s="39">
        <f>SUMIFS(Table5[Expense],Table5[Service Line],"Home Health",Table5[Cost Subcategory],"LAB &amp; DIAGNOSTICS",Table5[Month],"MARCH")</f>
        <v>0</v>
      </c>
      <c r="E65" s="39">
        <f>SUMIFS(Table5[Expense],Table5[Service Line],"Home Health",Table5[Cost Subcategory],"LAB &amp; DIAGNOSTICS",Table5[Month],"APRIL")</f>
        <v>0</v>
      </c>
      <c r="F65" s="39">
        <f>SUMIFS(Table5[Expense],Table5[Service Line],"Home Health",Table5[Cost Subcategory],"LAB &amp; DIAGNOSTICS",Table5[Month],"MAY")</f>
        <v>0</v>
      </c>
      <c r="G65" s="39">
        <f>SUMIFS(Table5[Expense],Table5[Service Line],"Home Health",Table5[Cost Subcategory],"LAB &amp; DIAGNOSTICS",Table5[Month],"JUNE")</f>
        <v>0</v>
      </c>
      <c r="H65" s="39">
        <f>SUMIFS(Table5[Expense],Table5[Service Line],"Home Health",Table5[Cost Subcategory],"LAB &amp; DIAGNOSTICS",Table5[Month],"JULY")</f>
        <v>0</v>
      </c>
      <c r="I65" s="39">
        <f>SUMIFS(Table5[Expense],Table5[Service Line],"Home Health",Table5[Cost Subcategory],"LAB &amp; DIAGNOSTICS",Table5[Month],"AUGUST")</f>
        <v>0</v>
      </c>
      <c r="J65" s="39">
        <f>SUMIFS(Table5[Expense],Table5[Service Line],"Home Health",Table5[Cost Subcategory],"LAB &amp; DIAGNOSTICS",Table5[Month],"SEPTEMBER")</f>
        <v>0</v>
      </c>
      <c r="K65" s="39">
        <f>SUMIFS(Table5[Expense],Table5[Service Line],"Home Health",Table5[Cost Subcategory],"LAB &amp; DIAGNOSTICS",Table5[Month],"OCTOBER")</f>
        <v>0</v>
      </c>
      <c r="L65" s="39">
        <f>SUMIFS(Table5[Expense],Table5[Service Line],"Home Health",Table5[Cost Subcategory],"LAB &amp; DIAGNOSTICS",Table5[Month],"NOVEMBER")</f>
        <v>0</v>
      </c>
      <c r="M65" s="39">
        <f>SUMIFS(Table5[Expense],Table5[Service Line],"Home Health",Table5[Cost Subcategory],"LAB &amp; DIAGNOSTICS",Table5[Month],"DECEMBER")</f>
        <v>0</v>
      </c>
      <c r="N65" s="43">
        <f t="shared" si="5"/>
        <v>0</v>
      </c>
      <c r="P65" s="198"/>
    </row>
    <row r="66" spans="1:16" ht="16.5" thickTop="1" thickBot="1" x14ac:dyDescent="0.35">
      <c r="A66" s="31" t="s">
        <v>103</v>
      </c>
      <c r="B66" s="39">
        <f>SUMIFS(Table5[Expense],Table5[Service Line],"Home Health",Table5[Cost Subcategory],"LEASED COPIER",Table5[Month],"JANUARY")</f>
        <v>0</v>
      </c>
      <c r="C66" s="39">
        <f>SUMIFS(Table5[Expense],Table5[Service Line],"Home Health",Table5[Cost Subcategory],"LEASED COPIER",Table5[Month],"FEBRUARY")</f>
        <v>0</v>
      </c>
      <c r="D66" s="39">
        <f>SUMIFS(Table5[Expense],Table5[Service Line],"Home Health",Table5[Cost Subcategory],"LEASED COPIER",Table5[Month],"MARCH")</f>
        <v>0</v>
      </c>
      <c r="E66" s="39">
        <f>SUMIFS(Table5[Expense],Table5[Service Line],"Home Health",Table5[Cost Subcategory],"LEASED COPIER",Table5[Month],"APRIL")</f>
        <v>0</v>
      </c>
      <c r="F66" s="39">
        <f>SUMIFS(Table5[Expense],Table5[Service Line],"Home Health",Table5[Cost Subcategory],"LEASED COPIER",Table5[Month],"MAY")</f>
        <v>0</v>
      </c>
      <c r="G66" s="39">
        <f>SUMIFS(Table5[Expense],Table5[Service Line],"Home Health",Table5[Cost Subcategory],"LEASED COPIER",Table5[Month],"JUNE")</f>
        <v>0</v>
      </c>
      <c r="H66" s="39">
        <f>SUMIFS(Table5[Expense],Table5[Service Line],"Home Health",Table5[Cost Subcategory],"LEASED COPIER",Table5[Month],"JULY")</f>
        <v>0</v>
      </c>
      <c r="I66" s="39">
        <f>SUMIFS(Table5[Expense],Table5[Service Line],"Home Health",Table5[Cost Subcategory],"LEASED COPIER",Table5[Month],"AUGUST")</f>
        <v>0</v>
      </c>
      <c r="J66" s="39">
        <f>SUMIFS(Table5[Expense],Table5[Service Line],"Home Health",Table5[Cost Subcategory],"LEASED COPIER",Table5[Month],"SEPTEMBER")</f>
        <v>0</v>
      </c>
      <c r="K66" s="39">
        <f>SUMIFS(Table5[Expense],Table5[Service Line],"Home Health",Table5[Cost Subcategory],"LEASED COPIER",Table5[Month],"OCTOBER")</f>
        <v>0</v>
      </c>
      <c r="L66" s="39">
        <f>SUMIFS(Table5[Expense],Table5[Service Line],"Home Health",Table5[Cost Subcategory],"LEASED COPIER",Table5[Month],"NOVEMBER")</f>
        <v>0</v>
      </c>
      <c r="M66" s="39">
        <f>SUMIFS(Table5[Expense],Table5[Service Line],"Home Health",Table5[Cost Subcategory],"LEASED COPIER",Table5[Month],"DECEMBER")</f>
        <v>0</v>
      </c>
      <c r="N66" s="43">
        <f t="shared" ref="N66:N67" si="13">SUM(D66:M66)</f>
        <v>0</v>
      </c>
      <c r="P66" s="198"/>
    </row>
    <row r="67" spans="1:16" ht="16.5" thickTop="1" thickBot="1" x14ac:dyDescent="0.35">
      <c r="A67" s="31" t="s">
        <v>104</v>
      </c>
      <c r="B67" s="39">
        <f>SUMIFS(Table5[Expense],Table5[Service Line],"Home Health",Table5[Cost Subcategory],"LEASED VEHICLES",Table5[Month],"JANUARY")</f>
        <v>0</v>
      </c>
      <c r="C67" s="39">
        <f>SUMIFS(Table5[Expense],Table5[Service Line],"Home Health",Table5[Cost Subcategory],"LEASED VEHICLES",Table5[Month],"FEBRUARY")</f>
        <v>0</v>
      </c>
      <c r="D67" s="39">
        <f>SUMIFS(Table5[Expense],Table5[Service Line],"Home Health",Table5[Cost Subcategory],"LEASED VEHICLES",Table5[Month],"MARCH")</f>
        <v>0</v>
      </c>
      <c r="E67" s="39">
        <f>SUMIFS(Table5[Expense],Table5[Service Line],"Home Health",Table5[Cost Subcategory],"LEASED VEHICLES",Table5[Month],"APRIL")</f>
        <v>0</v>
      </c>
      <c r="F67" s="39">
        <f>SUMIFS(Table5[Expense],Table5[Service Line],"Home Health",Table5[Cost Subcategory],"LEASED VEHICLES",Table5[Month],"MAY")</f>
        <v>0</v>
      </c>
      <c r="G67" s="39">
        <f>SUMIFS(Table5[Expense],Table5[Service Line],"Home Health",Table5[Cost Subcategory],"LEASED VEHICLES",Table5[Month],"JUNE")</f>
        <v>0</v>
      </c>
      <c r="H67" s="39">
        <f>SUMIFS(Table5[Expense],Table5[Service Line],"Home Health",Table5[Cost Subcategory],"LEASED VEHICLES",Table5[Month],"JULY")</f>
        <v>0</v>
      </c>
      <c r="I67" s="39">
        <f>SUMIFS(Table5[Expense],Table5[Service Line],"Home Health",Table5[Cost Subcategory],"LEASED VEHICLES",Table5[Month],"AUGUST")</f>
        <v>0</v>
      </c>
      <c r="J67" s="39">
        <f>SUMIFS(Table5[Expense],Table5[Service Line],"Home Health",Table5[Cost Subcategory],"LEASED VEHICLES",Table5[Month],"SEPTEMBER")</f>
        <v>0</v>
      </c>
      <c r="K67" s="39">
        <f>SUMIFS(Table5[Expense],Table5[Service Line],"Home Health",Table5[Cost Subcategory],"LEASED VEHICLES",Table5[Month],"OCTOBER")</f>
        <v>0</v>
      </c>
      <c r="L67" s="39">
        <f>SUMIFS(Table5[Expense],Table5[Service Line],"Home Health",Table5[Cost Subcategory],"LEASED VEHICLES",Table5[Month],"NOVEMBER")</f>
        <v>0</v>
      </c>
      <c r="M67" s="39">
        <f>SUMIFS(Table5[Expense],Table5[Service Line],"Home Health",Table5[Cost Subcategory],"LEASED VEHICLES",Table5[Month],"DECEMBER")</f>
        <v>0</v>
      </c>
      <c r="N67" s="43">
        <f t="shared" si="13"/>
        <v>0</v>
      </c>
      <c r="P67" s="198"/>
    </row>
    <row r="68" spans="1:16" ht="16.5" thickTop="1" thickBot="1" x14ac:dyDescent="0.35">
      <c r="A68" s="31" t="s">
        <v>61</v>
      </c>
      <c r="B68" s="39">
        <f>SUMIFS(Table5[Expense],Table5[Service Line],"Home Health",Table5[Cost Subcategory],"LICENSE &amp; PERMITS",Table5[Month],"JANUARY")</f>
        <v>0</v>
      </c>
      <c r="C68" s="39">
        <f>SUMIFS(Table5[Expense],Table5[Service Line],"Home Health",Table5[Cost Subcategory],"LICENSE &amp; PERMITS",Table5[Month],"FEBRUARY")</f>
        <v>0</v>
      </c>
      <c r="D68" s="39">
        <f>SUMIFS(Table5[Expense],Table5[Service Line],"Home Health",Table5[Cost Subcategory],"LICENSE &amp; PERMITS",Table5[Month],"MARCH")</f>
        <v>0</v>
      </c>
      <c r="E68" s="39">
        <f>SUMIFS(Table5[Expense],Table5[Service Line],"Home Health",Table5[Cost Subcategory],"LICENSE &amp; PERMITS",Table5[Month],"APRIL")</f>
        <v>0</v>
      </c>
      <c r="F68" s="39">
        <f>SUMIFS(Table5[Expense],Table5[Service Line],"Home Health",Table5[Cost Subcategory],"LICENSE &amp; PERMITS",Table5[Month],"MAY")</f>
        <v>0</v>
      </c>
      <c r="G68" s="39">
        <f>SUMIFS(Table5[Expense],Table5[Service Line],"Home Health",Table5[Cost Subcategory],"LICENSE &amp; PERMITS",Table5[Month],"JUNE")</f>
        <v>0</v>
      </c>
      <c r="H68" s="39">
        <f>SUMIFS(Table5[Expense],Table5[Service Line],"Home Health",Table5[Cost Subcategory],"LICENSE &amp; PERMITS",Table5[Month],"JULY")</f>
        <v>0</v>
      </c>
      <c r="I68" s="39">
        <f>SUMIFS(Table5[Expense],Table5[Service Line],"Home Health",Table5[Cost Subcategory],"LICENSE &amp; PERMITS",Table5[Month],"AUGUST")</f>
        <v>0</v>
      </c>
      <c r="J68" s="39">
        <f>SUMIFS(Table5[Expense],Table5[Service Line],"Home Health",Table5[Cost Subcategory],"LICENSE &amp; PERMITS",Table5[Month],"SEPTEMBER")</f>
        <v>0</v>
      </c>
      <c r="K68" s="39">
        <f>SUMIFS(Table5[Expense],Table5[Service Line],"Home Health",Table5[Cost Subcategory],"LICENSE &amp; PERMITS",Table5[Month],"OCTOBER")</f>
        <v>0</v>
      </c>
      <c r="L68" s="39">
        <f>SUMIFS(Table5[Expense],Table5[Service Line],"Home Health",Table5[Cost Subcategory],"LICENSE &amp; PERMITS",Table5[Month],"NOVEMBER")</f>
        <v>0</v>
      </c>
      <c r="M68" s="39">
        <f>SUMIFS(Table5[Expense],Table5[Service Line],"Home Health",Table5[Cost Subcategory],"LICENSE &amp; PERMITS",Table5[Month],"DECEMBER")</f>
        <v>0</v>
      </c>
      <c r="N68" s="43">
        <f t="shared" si="5"/>
        <v>0</v>
      </c>
      <c r="P68" s="198"/>
    </row>
    <row r="69" spans="1:16" ht="16.5" thickTop="1" thickBot="1" x14ac:dyDescent="0.35">
      <c r="A69" s="31" t="s">
        <v>123</v>
      </c>
      <c r="B69" s="39">
        <f>SUMIFS(Table5[Expense],Table5[Service Line],"Home Health",Table5[Cost Subcategory],"MISC-EMP MORALE",Table5[Month],"JANUARY")</f>
        <v>0</v>
      </c>
      <c r="C69" s="39">
        <f>SUMIFS(Table5[Expense],Table5[Service Line],"Home Health",Table5[Cost Subcategory],"MISC-EMP MORALE",Table5[Month],"FEBRUARY")</f>
        <v>0</v>
      </c>
      <c r="D69" s="39">
        <f>SUMIFS(Table5[Expense],Table5[Service Line],"Home Health",Table5[Cost Subcategory],"MISC-EMP MORALE",Table5[Month],"MARCH")</f>
        <v>0</v>
      </c>
      <c r="E69" s="39">
        <f>SUMIFS(Table5[Expense],Table5[Service Line],"Home Health",Table5[Cost Subcategory],"MISC-EMP MORALE",Table5[Month],"APRIL")</f>
        <v>0</v>
      </c>
      <c r="F69" s="39">
        <f>SUMIFS(Table5[Expense],Table5[Service Line],"Home Health",Table5[Cost Subcategory],"MISC-EMP MORALE",Table5[Month],"MAY")</f>
        <v>0</v>
      </c>
      <c r="G69" s="39">
        <f>SUMIFS(Table5[Expense],Table5[Service Line],"Home Health",Table5[Cost Subcategory],"MISC-EMP MORALE",Table5[Month],"JUNE")</f>
        <v>0</v>
      </c>
      <c r="H69" s="39">
        <f>SUMIFS(Table5[Expense],Table5[Service Line],"Home Health",Table5[Cost Subcategory],"MISC-EMP MORALE",Table5[Month],"JULY")</f>
        <v>0</v>
      </c>
      <c r="I69" s="39">
        <f>SUMIFS(Table5[Expense],Table5[Service Line],"Home Health",Table5[Cost Subcategory],"MISC-EMP MORALE",Table5[Month],"AUGUST")</f>
        <v>0</v>
      </c>
      <c r="J69" s="39">
        <f>SUMIFS(Table5[Expense],Table5[Service Line],"Home Health",Table5[Cost Subcategory],"MISC-EMP MORALE",Table5[Month],"SEPTEMBER")</f>
        <v>0</v>
      </c>
      <c r="K69" s="39">
        <f>SUMIFS(Table5[Expense],Table5[Service Line],"Home Health",Table5[Cost Subcategory],"MISC-EMP MORALE",Table5[Month],"OCTOBER")</f>
        <v>0</v>
      </c>
      <c r="L69" s="39">
        <f>SUMIFS(Table5[Expense],Table5[Service Line],"Home Health",Table5[Cost Subcategory],"MISC-EMP MORALE",Table5[Month],"NOVEMBER")</f>
        <v>0</v>
      </c>
      <c r="M69" s="39">
        <f>SUMIFS(Table5[Expense],Table5[Service Line],"Home Health",Table5[Cost Subcategory],"MISC-EMP MORALE",Table5[Month],"DECEMBER")</f>
        <v>0</v>
      </c>
      <c r="N69" s="43">
        <f t="shared" si="5"/>
        <v>0</v>
      </c>
      <c r="P69" s="198"/>
    </row>
    <row r="70" spans="1:16" ht="16.5" thickTop="1" thickBot="1" x14ac:dyDescent="0.35">
      <c r="A70" s="31" t="s">
        <v>60</v>
      </c>
      <c r="B70" s="39">
        <f>SUMIFS(Table5[Expense],Table5[Service Line],"Home Health",Table5[Cost Subcategory],"MISC-USER FEES",Table5[Month],"JANUARY")</f>
        <v>0</v>
      </c>
      <c r="C70" s="39">
        <f>SUMIFS(Table5[Expense],Table5[Service Line],"Home Health",Table5[Cost Subcategory],"MISC-USER FEES",Table5[Month],"FEBRUARY")</f>
        <v>0</v>
      </c>
      <c r="D70" s="39">
        <f>SUMIFS(Table5[Expense],Table5[Service Line],"Home Health",Table5[Cost Subcategory],"MISC-USER FEES",Table5[Month],"MARCH")</f>
        <v>0</v>
      </c>
      <c r="E70" s="39">
        <f>SUMIFS(Table5[Expense],Table5[Service Line],"Home Health",Table5[Cost Subcategory],"MISC-USER FEES",Table5[Month],"APRIL")</f>
        <v>0</v>
      </c>
      <c r="F70" s="39">
        <f>SUMIFS(Table5[Expense],Table5[Service Line],"Home Health",Table5[Cost Subcategory],"MISC-USER FEES",Table5[Month],"MAY")</f>
        <v>0</v>
      </c>
      <c r="G70" s="39">
        <f>SUMIFS(Table5[Expense],Table5[Service Line],"Home Health",Table5[Cost Subcategory],"MISC-USER FEES",Table5[Month],"JUNE")</f>
        <v>0</v>
      </c>
      <c r="H70" s="39">
        <f>SUMIFS(Table5[Expense],Table5[Service Line],"Home Health",Table5[Cost Subcategory],"MISC-USER FEES",Table5[Month],"JULY")</f>
        <v>0</v>
      </c>
      <c r="I70" s="39">
        <f>SUMIFS(Table5[Expense],Table5[Service Line],"Home Health",Table5[Cost Subcategory],"MISC-USER FEES",Table5[Month],"AUGUST")</f>
        <v>0</v>
      </c>
      <c r="J70" s="39">
        <f>SUMIFS(Table5[Expense],Table5[Service Line],"Home Health",Table5[Cost Subcategory],"MISC-USER FEES",Table5[Month],"SEPTEMBER")</f>
        <v>0</v>
      </c>
      <c r="K70" s="39">
        <f>SUMIFS(Table5[Expense],Table5[Service Line],"Home Health",Table5[Cost Subcategory],"MISC-USER FEES",Table5[Month],"OCTOBER")</f>
        <v>0</v>
      </c>
      <c r="L70" s="39">
        <f>SUMIFS(Table5[Expense],Table5[Service Line],"Home Health",Table5[Cost Subcategory],"MISC-USER FEES",Table5[Month],"NOVEMBER")</f>
        <v>0</v>
      </c>
      <c r="M70" s="39">
        <f>SUMIFS(Table5[Expense],Table5[Service Line],"Home Health",Table5[Cost Subcategory],"MISC-USER FEES",Table5[Month],"DECEMBER")</f>
        <v>0</v>
      </c>
      <c r="N70" s="43">
        <f t="shared" si="5"/>
        <v>0</v>
      </c>
      <c r="P70" s="198"/>
    </row>
    <row r="71" spans="1:16" ht="16.5" thickTop="1" thickBot="1" x14ac:dyDescent="0.35">
      <c r="A71" s="31" t="s">
        <v>59</v>
      </c>
      <c r="B71" s="39">
        <f>SUMIFS(Table5[Expense],Table5[Service Line],"Home Health",Table5[Cost Subcategory],"MISCELLANEOUS",Table5[Month],"JANUARY")</f>
        <v>0</v>
      </c>
      <c r="C71" s="39">
        <f>SUMIFS(Table5[Expense],Table5[Service Line],"Home Health",Table5[Cost Subcategory],"MISCELLANEOUS",Table5[Month],"FEBRUARY")</f>
        <v>0</v>
      </c>
      <c r="D71" s="39">
        <f>SUMIFS(Table5[Expense],Table5[Service Line],"Home Health",Table5[Cost Subcategory],"MISCELLANEOUS",Table5[Month],"MARCH")</f>
        <v>0</v>
      </c>
      <c r="E71" s="39">
        <f>SUMIFS(Table5[Expense],Table5[Service Line],"Home Health",Table5[Cost Subcategory],"MISCELLANEOUS",Table5[Month],"APRIL")</f>
        <v>0</v>
      </c>
      <c r="F71" s="39">
        <f>SUMIFS(Table5[Expense],Table5[Service Line],"Home Health",Table5[Cost Subcategory],"MISCELLANEOUS",Table5[Month],"MAY")</f>
        <v>0</v>
      </c>
      <c r="G71" s="39">
        <f>SUMIFS(Table5[Expense],Table5[Service Line],"Home Health",Table5[Cost Subcategory],"MISCELLANEOUS",Table5[Month],"JUNE")</f>
        <v>0</v>
      </c>
      <c r="H71" s="39">
        <f>SUMIFS(Table5[Expense],Table5[Service Line],"Home Health",Table5[Cost Subcategory],"MISCELLANEOUS",Table5[Month],"JULY")</f>
        <v>0</v>
      </c>
      <c r="I71" s="39">
        <f>SUMIFS(Table5[Expense],Table5[Service Line],"Home Health",Table5[Cost Subcategory],"MISCELLANEOUS",Table5[Month],"AUGUST")</f>
        <v>0</v>
      </c>
      <c r="J71" s="39">
        <f>SUMIFS(Table5[Expense],Table5[Service Line],"Home Health",Table5[Cost Subcategory],"MISCELLANEOUS",Table5[Month],"SEPTEMBER")</f>
        <v>0</v>
      </c>
      <c r="K71" s="39">
        <f>SUMIFS(Table5[Expense],Table5[Service Line],"Home Health",Table5[Cost Subcategory],"MISCELLANEOUS",Table5[Month],"OCTOBER")</f>
        <v>0</v>
      </c>
      <c r="L71" s="39">
        <f>SUMIFS(Table5[Expense],Table5[Service Line],"Home Health",Table5[Cost Subcategory],"MISCELLANEOUS",Table5[Month],"NOVEMBER")</f>
        <v>0</v>
      </c>
      <c r="M71" s="39">
        <f>SUMIFS(Table5[Expense],Table5[Service Line],"Home Health",Table5[Cost Subcategory],"MISCELLANEOUS",Table5[Month],"DECEMBER")</f>
        <v>0</v>
      </c>
      <c r="N71" s="43">
        <f t="shared" si="5"/>
        <v>0</v>
      </c>
      <c r="P71" s="198"/>
    </row>
    <row r="72" spans="1:16" ht="16.5" thickTop="1" thickBot="1" x14ac:dyDescent="0.35">
      <c r="A72" s="31" t="s">
        <v>330</v>
      </c>
      <c r="B72" s="39">
        <f>SUMIFS(Table5[Expense],Table5[Service Line],"Home Health",Table5[Cost Subcategory],"NURSING HOME ROOM &amp; BOARD",Table5[Month],"JANUARY")</f>
        <v>0</v>
      </c>
      <c r="C72" s="39">
        <f>SUMIFS(Table5[Expense],Table5[Service Line],"Home Health",Table5[Cost Subcategory],"NURSING HOME ROOM &amp; BOARD",Table5[Month],"FEBRUARY")</f>
        <v>0</v>
      </c>
      <c r="D72" s="39">
        <f>SUMIFS(Table5[Expense],Table5[Service Line],"Home Health",Table5[Cost Subcategory],"NURSING HOME ROOM &amp; BOARD",Table5[Month],"MARCH")</f>
        <v>0</v>
      </c>
      <c r="E72" s="39">
        <f>SUMIFS(Table5[Expense],Table5[Service Line],"Home Health",Table5[Cost Subcategory],"NURSING HOME ROOM &amp; BOARD",Table5[Month],"APRIL")</f>
        <v>0</v>
      </c>
      <c r="F72" s="39">
        <f>SUMIFS(Table5[Expense],Table5[Service Line],"Home Health",Table5[Cost Subcategory],"NURSING HOME ROOM &amp; BOARD",Table5[Month],"MAY")</f>
        <v>0</v>
      </c>
      <c r="G72" s="39">
        <f>SUMIFS(Table5[Expense],Table5[Service Line],"Home Health",Table5[Cost Subcategory],"NURSING HOME ROOM &amp; BOARD",Table5[Month],"JUNE")</f>
        <v>0</v>
      </c>
      <c r="H72" s="39">
        <f>SUMIFS(Table5[Expense],Table5[Service Line],"Home Health",Table5[Cost Subcategory],"NURSING HOME ROOM &amp; BOARD",Table5[Month],"JULY")</f>
        <v>0</v>
      </c>
      <c r="I72" s="39">
        <f>SUMIFS(Table5[Expense],Table5[Service Line],"Home Health",Table5[Cost Subcategory],"NURSING HOME ROOM &amp; BOARD",Table5[Month],"AUGUST")</f>
        <v>0</v>
      </c>
      <c r="J72" s="39">
        <f>SUMIFS(Table5[Expense],Table5[Service Line],"Home Health",Table5[Cost Subcategory],"NURSING HOME ROOM &amp; BOARD",Table5[Month],"SEPTEMBER")</f>
        <v>0</v>
      </c>
      <c r="K72" s="39">
        <f>SUMIFS(Table5[Expense],Table5[Service Line],"Home Health",Table5[Cost Subcategory],"NURSING HOME ROOM &amp; BOARD",Table5[Month],"OCTOBER")</f>
        <v>0</v>
      </c>
      <c r="L72" s="39">
        <f>SUMIFS(Table5[Expense],Table5[Service Line],"Home Health",Table5[Cost Subcategory],"NURSING HOME ROOM &amp; BOARD",Table5[Month],"NOVEMBER")</f>
        <v>0</v>
      </c>
      <c r="M72" s="39">
        <f>SUMIFS(Table5[Expense],Table5[Service Line],"Home Health",Table5[Cost Subcategory],"NURSING HOME ROOM &amp; BOARD",Table5[Month],"DECEMBER")</f>
        <v>0</v>
      </c>
      <c r="N72" s="43">
        <f t="shared" ref="N72" si="14">SUM(D72:M72)</f>
        <v>0</v>
      </c>
      <c r="P72" s="198"/>
    </row>
    <row r="73" spans="1:16" ht="16.5" thickTop="1" thickBot="1" x14ac:dyDescent="0.35">
      <c r="A73" s="31" t="s">
        <v>58</v>
      </c>
      <c r="B73" s="39">
        <f>SUMIFS(Table5[Expense],Table5[Service Line],"Home Health",Table5[Cost Subcategory],"OFFICE SUPPLIES",Table5[Month],"JANUARY")</f>
        <v>0</v>
      </c>
      <c r="C73" s="39">
        <f>SUMIFS(Table5[Expense],Table5[Service Line],"Home Health",Table5[Cost Subcategory],"OFFICE SUPPLIES",Table5[Month],"FEBRUARY")</f>
        <v>0</v>
      </c>
      <c r="D73" s="39">
        <f>SUMIFS(Table5[Expense],Table5[Service Line],"Home Health",Table5[Cost Subcategory],"OFFICE SUPPLIES",Table5[Month],"MARCH")</f>
        <v>0</v>
      </c>
      <c r="E73" s="39">
        <f>SUMIFS(Table5[Expense],Table5[Service Line],"Home Health",Table5[Cost Subcategory],"OFFICE SUPPLIES",Table5[Month],"APRIL")</f>
        <v>0</v>
      </c>
      <c r="F73" s="39">
        <f>SUMIFS(Table5[Expense],Table5[Service Line],"Home Health",Table5[Cost Subcategory],"OFFICE SUPPLIES",Table5[Month],"MAY")</f>
        <v>0</v>
      </c>
      <c r="G73" s="39">
        <f>SUMIFS(Table5[Expense],Table5[Service Line],"Home Health",Table5[Cost Subcategory],"OFFICE SUPPLIES",Table5[Month],"JUNE")</f>
        <v>0</v>
      </c>
      <c r="H73" s="39">
        <f>SUMIFS(Table5[Expense],Table5[Service Line],"Home Health",Table5[Cost Subcategory],"OFFICE SUPPLIES",Table5[Month],"JULY")</f>
        <v>0</v>
      </c>
      <c r="I73" s="39">
        <f>SUMIFS(Table5[Expense],Table5[Service Line],"Home Health",Table5[Cost Subcategory],"OFFICE SUPPLIES",Table5[Month],"AUGUST")</f>
        <v>0</v>
      </c>
      <c r="J73" s="39">
        <f>SUMIFS(Table5[Expense],Table5[Service Line],"Home Health",Table5[Cost Subcategory],"OFFICE SUPPLIES",Table5[Month],"SEPTEMBER")</f>
        <v>0</v>
      </c>
      <c r="K73" s="39">
        <f>SUMIFS(Table5[Expense],Table5[Service Line],"Home Health",Table5[Cost Subcategory],"OFFICE SUPPLIES",Table5[Month],"OCTOBER")</f>
        <v>0</v>
      </c>
      <c r="L73" s="39">
        <f>SUMIFS(Table5[Expense],Table5[Service Line],"Home Health",Table5[Cost Subcategory],"OFFICE SUPPLIES",Table5[Month],"NOVEMBER")</f>
        <v>0</v>
      </c>
      <c r="M73" s="39">
        <f>SUMIFS(Table5[Expense],Table5[Service Line],"Home Health",Table5[Cost Subcategory],"OFFICE SUPPLIES",Table5[Month],"DECEMBER")</f>
        <v>0</v>
      </c>
      <c r="N73" s="43">
        <f t="shared" si="5"/>
        <v>0</v>
      </c>
      <c r="P73" s="198"/>
    </row>
    <row r="74" spans="1:16" ht="16.5" thickTop="1" thickBot="1" x14ac:dyDescent="0.35">
      <c r="A74" s="31" t="s">
        <v>117</v>
      </c>
      <c r="B74" s="39">
        <f>SUMIFS(Table5[Expense],Table5[Service Line],"Home Health",Table5[Cost Subcategory],"PATIENT TRANSPORTATION",Table5[Month],"JANUARY")</f>
        <v>0</v>
      </c>
      <c r="C74" s="39">
        <f>SUMIFS(Table5[Expense],Table5[Service Line],"Home Health",Table5[Cost Subcategory],"PATIENT TRANSPORTATION",Table5[Month],"FEBRUARY")</f>
        <v>0</v>
      </c>
      <c r="D74" s="39">
        <f>SUMIFS(Table5[Expense],Table5[Service Line],"Home Health",Table5[Cost Subcategory],"PATIENT TRANSPORTATION",Table5[Month],"MARCH")</f>
        <v>0</v>
      </c>
      <c r="E74" s="39">
        <f>SUMIFS(Table5[Expense],Table5[Service Line],"Home Health",Table5[Cost Subcategory],"PATIENT TRANSPORTATION",Table5[Month],"APRIL")</f>
        <v>0</v>
      </c>
      <c r="F74" s="39">
        <f>SUMIFS(Table5[Expense],Table5[Service Line],"Home Health",Table5[Cost Subcategory],"PATIENT TRANSPORTATION",Table5[Month],"MAY")</f>
        <v>0</v>
      </c>
      <c r="G74" s="39">
        <f>SUMIFS(Table5[Expense],Table5[Service Line],"Home Health",Table5[Cost Subcategory],"PATIENT TRANSPORTATION",Table5[Month],"JUNE")</f>
        <v>0</v>
      </c>
      <c r="H74" s="39">
        <f>SUMIFS(Table5[Expense],Table5[Service Line],"Home Health",Table5[Cost Subcategory],"PATIENT TRANSPORTATION",Table5[Month],"JULY")</f>
        <v>0</v>
      </c>
      <c r="I74" s="39">
        <f>SUMIFS(Table5[Expense],Table5[Service Line],"Home Health",Table5[Cost Subcategory],"PATIENT TRANSPORTATION",Table5[Month],"AUGUST")</f>
        <v>0</v>
      </c>
      <c r="J74" s="39">
        <f>SUMIFS(Table5[Expense],Table5[Service Line],"Home Health",Table5[Cost Subcategory],"PATIENT TRANSPORTATION",Table5[Month],"SEPTEMBER")</f>
        <v>0</v>
      </c>
      <c r="K74" s="39">
        <f>SUMIFS(Table5[Expense],Table5[Service Line],"Home Health",Table5[Cost Subcategory],"PATIENT TRANSPORTATION",Table5[Month],"OCTOBER")</f>
        <v>0</v>
      </c>
      <c r="L74" s="39">
        <f>SUMIFS(Table5[Expense],Table5[Service Line],"Home Health",Table5[Cost Subcategory],"PATIENT TRANSPORTATION",Table5[Month],"NOVEMBER")</f>
        <v>0</v>
      </c>
      <c r="M74" s="39">
        <f>SUMIFS(Table5[Expense],Table5[Service Line],"Home Health",Table5[Cost Subcategory],"PATIENT TRANSPORTATION",Table5[Month],"DECEMBER")</f>
        <v>0</v>
      </c>
      <c r="N74" s="43">
        <f t="shared" si="5"/>
        <v>0</v>
      </c>
      <c r="P74" s="198"/>
    </row>
    <row r="75" spans="1:16" ht="16.5" thickTop="1" thickBot="1" x14ac:dyDescent="0.35">
      <c r="A75" s="31" t="s">
        <v>57</v>
      </c>
      <c r="B75" s="39">
        <f>SUMIFS(Table5[Expense],Table5[Service Line],"Home Health",Table5[Cost Subcategory],"POSTAGE",Table5[Month],"JANUARY")</f>
        <v>0</v>
      </c>
      <c r="C75" s="39">
        <f>SUMIFS(Table5[Expense],Table5[Service Line],"Home Health",Table5[Cost Subcategory],"POSTAGE",Table5[Month],"FEBRUARY")</f>
        <v>0</v>
      </c>
      <c r="D75" s="39">
        <f>SUMIFS(Table5[Expense],Table5[Service Line],"Home Health",Table5[Cost Subcategory],"POSTAGE",Table5[Month],"MARCH")</f>
        <v>0</v>
      </c>
      <c r="E75" s="39">
        <f>SUMIFS(Table5[Expense],Table5[Service Line],"Home Health",Table5[Cost Subcategory],"POSTAGE",Table5[Month],"APRIL")</f>
        <v>0</v>
      </c>
      <c r="F75" s="39">
        <f>SUMIFS(Table5[Expense],Table5[Service Line],"Home Health",Table5[Cost Subcategory],"POSTAGE",Table5[Month],"MAY")</f>
        <v>0</v>
      </c>
      <c r="G75" s="39">
        <f>SUMIFS(Table5[Expense],Table5[Service Line],"Home Health",Table5[Cost Subcategory],"POSTAGE",Table5[Month],"JUNE")</f>
        <v>0</v>
      </c>
      <c r="H75" s="39">
        <f>SUMIFS(Table5[Expense],Table5[Service Line],"Home Health",Table5[Cost Subcategory],"POSTAGE",Table5[Month],"JULY")</f>
        <v>0</v>
      </c>
      <c r="I75" s="39">
        <f>SUMIFS(Table5[Expense],Table5[Service Line],"Home Health",Table5[Cost Subcategory],"POSTAGE",Table5[Month],"AUGUST")</f>
        <v>0</v>
      </c>
      <c r="J75" s="39">
        <f>SUMIFS(Table5[Expense],Table5[Service Line],"Home Health",Table5[Cost Subcategory],"POSTAGE",Table5[Month],"SEPTEMBER")</f>
        <v>0</v>
      </c>
      <c r="K75" s="39">
        <f>SUMIFS(Table5[Expense],Table5[Service Line],"Home Health",Table5[Cost Subcategory],"POSTAGE",Table5[Month],"OCTOBER")</f>
        <v>0</v>
      </c>
      <c r="L75" s="39">
        <f>SUMIFS(Table5[Expense],Table5[Service Line],"Home Health",Table5[Cost Subcategory],"POSTAGE",Table5[Month],"NOVEMBER")</f>
        <v>0</v>
      </c>
      <c r="M75" s="39">
        <f>SUMIFS(Table5[Expense],Table5[Service Line],"Home Health",Table5[Cost Subcategory],"POSTAGE",Table5[Month],"DECEMBER")</f>
        <v>0</v>
      </c>
      <c r="N75" s="43">
        <f t="shared" si="5"/>
        <v>0</v>
      </c>
      <c r="P75" s="198"/>
    </row>
    <row r="76" spans="1:16" ht="16.5" thickTop="1" thickBot="1" x14ac:dyDescent="0.35">
      <c r="A76" s="31" t="s">
        <v>17</v>
      </c>
      <c r="B76" s="39">
        <f>SUMIFS(Table5[Expense],Table5[Service Line],"Home Health",Table5[Cost Subcategory],"PRINTING EXPENSE",Table5[Month],"JANUARY")</f>
        <v>0</v>
      </c>
      <c r="C76" s="39">
        <f>SUMIFS(Table5[Expense],Table5[Service Line],"Home Health",Table5[Cost Subcategory],"PRINTING EXPENSE",Table5[Month],"FEBRUARY")</f>
        <v>0</v>
      </c>
      <c r="D76" s="39">
        <f>SUMIFS(Table5[Expense],Table5[Service Line],"Home Health",Table5[Cost Subcategory],"PRINTING EXPENSE",Table5[Month],"MARCH")</f>
        <v>0</v>
      </c>
      <c r="E76" s="39">
        <f>SUMIFS(Table5[Expense],Table5[Service Line],"Home Health",Table5[Cost Subcategory],"PRINTING EXPENSE",Table5[Month],"APRIL")</f>
        <v>0</v>
      </c>
      <c r="F76" s="39">
        <f>SUMIFS(Table5[Expense],Table5[Service Line],"Home Health",Table5[Cost Subcategory],"PRINTING EXPENSE",Table5[Month],"MAY")</f>
        <v>0</v>
      </c>
      <c r="G76" s="39">
        <f>SUMIFS(Table5[Expense],Table5[Service Line],"Home Health",Table5[Cost Subcategory],"PRINTING EXPENSE",Table5[Month],"JUNE")</f>
        <v>0</v>
      </c>
      <c r="H76" s="39">
        <f>SUMIFS(Table5[Expense],Table5[Service Line],"Home Health",Table5[Cost Subcategory],"PRINTING EXPENSE",Table5[Month],"JULY")</f>
        <v>0</v>
      </c>
      <c r="I76" s="39">
        <f>SUMIFS(Table5[Expense],Table5[Service Line],"Home Health",Table5[Cost Subcategory],"PRINTING EXPENSE",Table5[Month],"AUGUST")</f>
        <v>0</v>
      </c>
      <c r="J76" s="39">
        <f>SUMIFS(Table5[Expense],Table5[Service Line],"Home Health",Table5[Cost Subcategory],"PRINTING EXPENSE",Table5[Month],"SEPTEMBER")</f>
        <v>0</v>
      </c>
      <c r="K76" s="39">
        <f>SUMIFS(Table5[Expense],Table5[Service Line],"Home Health",Table5[Cost Subcategory],"PRINTING EXPENSE",Table5[Month],"OCTOBER")</f>
        <v>0</v>
      </c>
      <c r="L76" s="39">
        <f>SUMIFS(Table5[Expense],Table5[Service Line],"Home Health",Table5[Cost Subcategory],"PRINTING EXPENSE",Table5[Month],"NOVEMBER")</f>
        <v>0</v>
      </c>
      <c r="M76" s="39">
        <f>SUMIFS(Table5[Expense],Table5[Service Line],"Home Health",Table5[Cost Subcategory],"PRINTING EXPENSE",Table5[Month],"DECEMBER")</f>
        <v>0</v>
      </c>
      <c r="N76" s="43">
        <f t="shared" si="5"/>
        <v>0</v>
      </c>
      <c r="P76" s="198"/>
    </row>
    <row r="77" spans="1:16" ht="16.5" thickTop="1" thickBot="1" x14ac:dyDescent="0.35">
      <c r="A77" s="31" t="s">
        <v>105</v>
      </c>
      <c r="B77" s="39">
        <f>SUMIFS(Table5[Expense],Table5[Service Line],"Home Health",Table5[Cost Subcategory],"PROF FEES-ACCT",Table5[Month],"JANUARY")</f>
        <v>0</v>
      </c>
      <c r="C77" s="39">
        <f>SUMIFS(Table5[Expense],Table5[Service Line],"Home Health",Table5[Cost Subcategory],"PROF FEES-ACCT",Table5[Month],"FEBRUARY")</f>
        <v>0</v>
      </c>
      <c r="D77" s="39">
        <f>SUMIFS(Table5[Expense],Table5[Service Line],"Home Health",Table5[Cost Subcategory],"PROF FEES-ACCT",Table5[Month],"MARCH")</f>
        <v>0</v>
      </c>
      <c r="E77" s="39">
        <f>SUMIFS(Table5[Expense],Table5[Service Line],"Home Health",Table5[Cost Subcategory],"PROF FEES-ACCT",Table5[Month],"APRIL")</f>
        <v>0</v>
      </c>
      <c r="F77" s="39">
        <f>SUMIFS(Table5[Expense],Table5[Service Line],"Home Health",Table5[Cost Subcategory],"PROF FEES-ACCT",Table5[Month],"MAY")</f>
        <v>0</v>
      </c>
      <c r="G77" s="39">
        <f>SUMIFS(Table5[Expense],Table5[Service Line],"Home Health",Table5[Cost Subcategory],"PROF FEES-ACCT",Table5[Month],"JUNE")</f>
        <v>0</v>
      </c>
      <c r="H77" s="39">
        <f>SUMIFS(Table5[Expense],Table5[Service Line],"Home Health",Table5[Cost Subcategory],"PROF FEES-ACCT",Table5[Month],"JULY")</f>
        <v>0</v>
      </c>
      <c r="I77" s="39">
        <f>SUMIFS(Table5[Expense],Table5[Service Line],"Home Health",Table5[Cost Subcategory],"PROF FEES-ACCT",Table5[Month],"AUGUST")</f>
        <v>0</v>
      </c>
      <c r="J77" s="39">
        <f>SUMIFS(Table5[Expense],Table5[Service Line],"Home Health",Table5[Cost Subcategory],"PROF FEES-ACCT",Table5[Month],"SEPTEMBER")</f>
        <v>0</v>
      </c>
      <c r="K77" s="39">
        <f>SUMIFS(Table5[Expense],Table5[Service Line],"Home Health",Table5[Cost Subcategory],"PROF FEES-ACCT",Table5[Month],"OCTOBER")</f>
        <v>0</v>
      </c>
      <c r="L77" s="39">
        <f>SUMIFS(Table5[Expense],Table5[Service Line],"Home Health",Table5[Cost Subcategory],"PROF FEES-ACCT",Table5[Month],"NOVEMBER")</f>
        <v>0</v>
      </c>
      <c r="M77" s="39">
        <f>SUMIFS(Table5[Expense],Table5[Service Line],"Home Health",Table5[Cost Subcategory],"PROF FEES-ACCT",Table5[Month],"DECEMBER")</f>
        <v>0</v>
      </c>
      <c r="N77" s="43">
        <f t="shared" ref="N77:N80" si="15">SUM(D77:M77)</f>
        <v>0</v>
      </c>
      <c r="P77" s="198"/>
    </row>
    <row r="78" spans="1:16" ht="16.5" thickTop="1" thickBot="1" x14ac:dyDescent="0.35">
      <c r="A78" s="31" t="s">
        <v>106</v>
      </c>
      <c r="B78" s="39">
        <f>SUMIFS(Table5[Expense],Table5[Service Line],"Home Health",Table5[Cost Subcategory],"PROF FEES-CONSULTING",Table5[Month],"JANUARY")</f>
        <v>0</v>
      </c>
      <c r="C78" s="39">
        <f>SUMIFS(Table5[Expense],Table5[Service Line],"Home Health",Table5[Cost Subcategory],"PROF FEES-CONSULTING",Table5[Month],"FEBRUARY")</f>
        <v>0</v>
      </c>
      <c r="D78" s="39">
        <f>SUMIFS(Table5[Expense],Table5[Service Line],"Home Health",Table5[Cost Subcategory],"PROF FEES-CONSULTING",Table5[Month],"MARCH")</f>
        <v>0</v>
      </c>
      <c r="E78" s="39">
        <f>SUMIFS(Table5[Expense],Table5[Service Line],"Home Health",Table5[Cost Subcategory],"PROF FEES-CONSULTING",Table5[Month],"APRIL")</f>
        <v>0</v>
      </c>
      <c r="F78" s="39">
        <f>SUMIFS(Table5[Expense],Table5[Service Line],"Home Health",Table5[Cost Subcategory],"PROF FEES-CONSULTING",Table5[Month],"MAY")</f>
        <v>0</v>
      </c>
      <c r="G78" s="39">
        <f>SUMIFS(Table5[Expense],Table5[Service Line],"Home Health",Table5[Cost Subcategory],"PROF FEES-CONSULTING",Table5[Month],"JUNE")</f>
        <v>0</v>
      </c>
      <c r="H78" s="39">
        <f>SUMIFS(Table5[Expense],Table5[Service Line],"Home Health",Table5[Cost Subcategory],"PROF FEES-CONSULTING",Table5[Month],"JULY")</f>
        <v>0</v>
      </c>
      <c r="I78" s="39">
        <f>SUMIFS(Table5[Expense],Table5[Service Line],"Home Health",Table5[Cost Subcategory],"PROF FEES-CONSULTING",Table5[Month],"AUGUST")</f>
        <v>0</v>
      </c>
      <c r="J78" s="39">
        <f>SUMIFS(Table5[Expense],Table5[Service Line],"Home Health",Table5[Cost Subcategory],"PROF FEES-CONSULTING",Table5[Month],"SEPTEMBER")</f>
        <v>0</v>
      </c>
      <c r="K78" s="39">
        <f>SUMIFS(Table5[Expense],Table5[Service Line],"Home Health",Table5[Cost Subcategory],"PROF FEES-CONSULTING",Table5[Month],"OCTOBER")</f>
        <v>0</v>
      </c>
      <c r="L78" s="39">
        <f>SUMIFS(Table5[Expense],Table5[Service Line],"Home Health",Table5[Cost Subcategory],"PROF FEES-CONSULTING",Table5[Month],"NOVEMBER")</f>
        <v>0</v>
      </c>
      <c r="M78" s="39">
        <f>SUMIFS(Table5[Expense],Table5[Service Line],"Home Health",Table5[Cost Subcategory],"PROF FEES-CONSULTING",Table5[Month],"DECEMBER")</f>
        <v>0</v>
      </c>
      <c r="N78" s="43">
        <f t="shared" si="15"/>
        <v>0</v>
      </c>
      <c r="P78" s="198"/>
    </row>
    <row r="79" spans="1:16" ht="16.5" thickTop="1" thickBot="1" x14ac:dyDescent="0.35">
      <c r="A79" s="31" t="s">
        <v>107</v>
      </c>
      <c r="B79" s="39">
        <f>SUMIFS(Table5[Expense],Table5[Service Line],"Home Health",Table5[Cost Subcategory],"PROF FEES-LEGAL",Table5[Month],"JANUARY")</f>
        <v>0</v>
      </c>
      <c r="C79" s="39">
        <f>SUMIFS(Table5[Expense],Table5[Service Line],"Home Health",Table5[Cost Subcategory],"PROF FEES-LEGAL",Table5[Month],"FEBRUARY")</f>
        <v>0</v>
      </c>
      <c r="D79" s="39">
        <f>SUMIFS(Table5[Expense],Table5[Service Line],"Home Health",Table5[Cost Subcategory],"PROF FEES-LEGAL",Table5[Month],"MARCH")</f>
        <v>0</v>
      </c>
      <c r="E79" s="39">
        <f>SUMIFS(Table5[Expense],Table5[Service Line],"Home Health",Table5[Cost Subcategory],"PROF FEES-LEGAL",Table5[Month],"APRIL")</f>
        <v>0</v>
      </c>
      <c r="F79" s="39">
        <f>SUMIFS(Table5[Expense],Table5[Service Line],"Home Health",Table5[Cost Subcategory],"PROF FEES-LEGAL",Table5[Month],"MAY")</f>
        <v>0</v>
      </c>
      <c r="G79" s="39">
        <f>SUMIFS(Table5[Expense],Table5[Service Line],"Home Health",Table5[Cost Subcategory],"PROF FEES-LEGAL",Table5[Month],"JUNE")</f>
        <v>0</v>
      </c>
      <c r="H79" s="39">
        <f>SUMIFS(Table5[Expense],Table5[Service Line],"Home Health",Table5[Cost Subcategory],"PROF FEES-LEGAL",Table5[Month],"JULY")</f>
        <v>0</v>
      </c>
      <c r="I79" s="39">
        <f>SUMIFS(Table5[Expense],Table5[Service Line],"Home Health",Table5[Cost Subcategory],"PROF FEES-LEGAL",Table5[Month],"AUGUST")</f>
        <v>0</v>
      </c>
      <c r="J79" s="39">
        <f>SUMIFS(Table5[Expense],Table5[Service Line],"Home Health",Table5[Cost Subcategory],"PROF FEES-LEGAL",Table5[Month],"SEPTEMBER")</f>
        <v>0</v>
      </c>
      <c r="K79" s="39">
        <f>SUMIFS(Table5[Expense],Table5[Service Line],"Home Health",Table5[Cost Subcategory],"PROF FEES-LEGAL",Table5[Month],"OCTOBER")</f>
        <v>0</v>
      </c>
      <c r="L79" s="39">
        <f>SUMIFS(Table5[Expense],Table5[Service Line],"Home Health",Table5[Cost Subcategory],"PROF FEES-LEGAL",Table5[Month],"NOVEMBER")</f>
        <v>0</v>
      </c>
      <c r="M79" s="39">
        <f>SUMIFS(Table5[Expense],Table5[Service Line],"Home Health",Table5[Cost Subcategory],"PROF FEES-LEGAL",Table5[Month],"DECEMBER")</f>
        <v>0</v>
      </c>
      <c r="N79" s="43">
        <f t="shared" si="15"/>
        <v>0</v>
      </c>
      <c r="P79" s="198"/>
    </row>
    <row r="80" spans="1:16" ht="16.5" thickTop="1" thickBot="1" x14ac:dyDescent="0.35">
      <c r="A80" s="31" t="s">
        <v>108</v>
      </c>
      <c r="B80" s="39">
        <f>SUMIFS(Table5[Expense],Table5[Service Line],"Home Health",Table5[Cost Subcategory],"PROF FEES-OTHER",Table5[Month],"JANUARY")</f>
        <v>0</v>
      </c>
      <c r="C80" s="39">
        <f>SUMIFS(Table5[Expense],Table5[Service Line],"Home Health",Table5[Cost Subcategory],"PROF FEES-OTHER",Table5[Month],"FEBRUARY")</f>
        <v>0</v>
      </c>
      <c r="D80" s="39">
        <f>SUMIFS(Table5[Expense],Table5[Service Line],"Home Health",Table5[Cost Subcategory],"PROF FEES-OTHER",Table5[Month],"MARCH")</f>
        <v>0</v>
      </c>
      <c r="E80" s="39">
        <f>SUMIFS(Table5[Expense],Table5[Service Line],"Home Health",Table5[Cost Subcategory],"PROF FEES-OTHER",Table5[Month],"APRIL")</f>
        <v>0</v>
      </c>
      <c r="F80" s="39">
        <f>SUMIFS(Table5[Expense],Table5[Service Line],"Home Health",Table5[Cost Subcategory],"PROF FEES-OTHER",Table5[Month],"MAY")</f>
        <v>0</v>
      </c>
      <c r="G80" s="39">
        <f>SUMIFS(Table5[Expense],Table5[Service Line],"Home Health",Table5[Cost Subcategory],"PROF FEES-OTHER",Table5[Month],"JUNE")</f>
        <v>0</v>
      </c>
      <c r="H80" s="39">
        <f>SUMIFS(Table5[Expense],Table5[Service Line],"Home Health",Table5[Cost Subcategory],"PROF FEES-OTHER",Table5[Month],"JULY")</f>
        <v>0</v>
      </c>
      <c r="I80" s="39">
        <f>SUMIFS(Table5[Expense],Table5[Service Line],"Home Health",Table5[Cost Subcategory],"PROF FEES-OTHER",Table5[Month],"AUGUST")</f>
        <v>0</v>
      </c>
      <c r="J80" s="39">
        <f>SUMIFS(Table5[Expense],Table5[Service Line],"Home Health",Table5[Cost Subcategory],"PROF FEES-OTHER",Table5[Month],"SEPTEMBER")</f>
        <v>0</v>
      </c>
      <c r="K80" s="39">
        <f>SUMIFS(Table5[Expense],Table5[Service Line],"Home Health",Table5[Cost Subcategory],"PROF FEES-OTHER",Table5[Month],"OCTOBER")</f>
        <v>0</v>
      </c>
      <c r="L80" s="39">
        <f>SUMIFS(Table5[Expense],Table5[Service Line],"Home Health",Table5[Cost Subcategory],"PROF FEES-OTHER",Table5[Month],"NOVEMBER")</f>
        <v>0</v>
      </c>
      <c r="M80" s="39">
        <f>SUMIFS(Table5[Expense],Table5[Service Line],"Home Health",Table5[Cost Subcategory],"PROF FEES-OTHER",Table5[Month],"DECEMBER")</f>
        <v>0</v>
      </c>
      <c r="N80" s="43">
        <f t="shared" si="15"/>
        <v>0</v>
      </c>
      <c r="P80" s="198"/>
    </row>
    <row r="81" spans="1:16" ht="16.5" thickTop="1" thickBot="1" x14ac:dyDescent="0.35">
      <c r="A81" s="31" t="s">
        <v>109</v>
      </c>
      <c r="B81" s="39">
        <f>SUMIFS(Table5[Expense],Table5[Service Line],"Home Health",Table5[Cost Subcategory],"RENT",Table5[Month],"JANUARY")</f>
        <v>0</v>
      </c>
      <c r="C81" s="39">
        <f>SUMIFS(Table5[Expense],Table5[Service Line],"Home Health",Table5[Cost Subcategory],"RENT",Table5[Month],"FEBRUARY")</f>
        <v>0</v>
      </c>
      <c r="D81" s="39">
        <f>SUMIFS(Table5[Expense],Table5[Service Line],"Home Health",Table5[Cost Subcategory],"RENT",Table5[Month],"MARCH")</f>
        <v>0</v>
      </c>
      <c r="E81" s="39">
        <f>SUMIFS(Table5[Expense],Table5[Service Line],"Home Health",Table5[Cost Subcategory],"RENT",Table5[Month],"APRIL")</f>
        <v>0</v>
      </c>
      <c r="F81" s="39">
        <f>SUMIFS(Table5[Expense],Table5[Service Line],"Home Health",Table5[Cost Subcategory],"RENT",Table5[Month],"MAY")</f>
        <v>0</v>
      </c>
      <c r="G81" s="39">
        <f>SUMIFS(Table5[Expense],Table5[Service Line],"Home Health",Table5[Cost Subcategory],"RENT",Table5[Month],"JUNE")</f>
        <v>0</v>
      </c>
      <c r="H81" s="39">
        <f>SUMIFS(Table5[Expense],Table5[Service Line],"Home Health",Table5[Cost Subcategory],"RENT",Table5[Month],"JULY")</f>
        <v>0</v>
      </c>
      <c r="I81" s="39">
        <f>SUMIFS(Table5[Expense],Table5[Service Line],"Home Health",Table5[Cost Subcategory],"RENT",Table5[Month],"AUGUST")</f>
        <v>0</v>
      </c>
      <c r="J81" s="39">
        <f>SUMIFS(Table5[Expense],Table5[Service Line],"Home Health",Table5[Cost Subcategory],"RENT",Table5[Month],"SEPTEMBER")</f>
        <v>0</v>
      </c>
      <c r="K81" s="39">
        <f>SUMIFS(Table5[Expense],Table5[Service Line],"Home Health",Table5[Cost Subcategory],"RENT",Table5[Month],"OCTOBER")</f>
        <v>0</v>
      </c>
      <c r="L81" s="39">
        <f>SUMIFS(Table5[Expense],Table5[Service Line],"Home Health",Table5[Cost Subcategory],"RENT",Table5[Month],"NOVEMBER")</f>
        <v>0</v>
      </c>
      <c r="M81" s="39">
        <f>SUMIFS(Table5[Expense],Table5[Service Line],"Home Health",Table5[Cost Subcategory],"RENT",Table5[Month],"DECEMBER")</f>
        <v>0</v>
      </c>
      <c r="N81" s="43">
        <f t="shared" ref="N81:N82" si="16">SUM(D81:M81)</f>
        <v>0</v>
      </c>
      <c r="P81" s="198"/>
    </row>
    <row r="82" spans="1:16" ht="16.5" thickTop="1" thickBot="1" x14ac:dyDescent="0.35">
      <c r="A82" s="31" t="s">
        <v>110</v>
      </c>
      <c r="B82" s="39">
        <f>SUMIFS(Table5[Expense],Table5[Service Line],"Home Health",Table5[Cost Subcategory],"REPAIRS/MAINTENANCE",Table5[Month],"JANUARY")</f>
        <v>0</v>
      </c>
      <c r="C82" s="39">
        <f>SUMIFS(Table5[Expense],Table5[Service Line],"Home Health",Table5[Cost Subcategory],"REPAIRS/MAINTENANCE",Table5[Month],"FEBRUARY")</f>
        <v>0</v>
      </c>
      <c r="D82" s="39">
        <f>SUMIFS(Table5[Expense],Table5[Service Line],"Home Health",Table5[Cost Subcategory],"REPAIRS/MAINTENANCE",Table5[Month],"MARCH")</f>
        <v>0</v>
      </c>
      <c r="E82" s="39">
        <f>SUMIFS(Table5[Expense],Table5[Service Line],"Home Health",Table5[Cost Subcategory],"REPAIRS/MAINTENANCE",Table5[Month],"APRIL")</f>
        <v>0</v>
      </c>
      <c r="F82" s="39">
        <f>SUMIFS(Table5[Expense],Table5[Service Line],"Home Health",Table5[Cost Subcategory],"REPAIRS/MAINTENANCE",Table5[Month],"MAY")</f>
        <v>0</v>
      </c>
      <c r="G82" s="39">
        <f>SUMIFS(Table5[Expense],Table5[Service Line],"Home Health",Table5[Cost Subcategory],"REPAIRS/MAINTENANCE",Table5[Month],"JUNE")</f>
        <v>0</v>
      </c>
      <c r="H82" s="39">
        <f>SUMIFS(Table5[Expense],Table5[Service Line],"Home Health",Table5[Cost Subcategory],"REPAIRS/MAINTENANCE",Table5[Month],"JULY")</f>
        <v>0</v>
      </c>
      <c r="I82" s="39">
        <f>SUMIFS(Table5[Expense],Table5[Service Line],"Home Health",Table5[Cost Subcategory],"REPAIRS/MAINTENANCE",Table5[Month],"AUGUST")</f>
        <v>0</v>
      </c>
      <c r="J82" s="39">
        <f>SUMIFS(Table5[Expense],Table5[Service Line],"Home Health",Table5[Cost Subcategory],"REPAIRS/MAINTENANCE",Table5[Month],"SEPTEMBER")</f>
        <v>0</v>
      </c>
      <c r="K82" s="39">
        <f>SUMIFS(Table5[Expense],Table5[Service Line],"Home Health",Table5[Cost Subcategory],"REPAIRS/MAINTENANCE",Table5[Month],"OCTOBER")</f>
        <v>0</v>
      </c>
      <c r="L82" s="39">
        <f>SUMIFS(Table5[Expense],Table5[Service Line],"Home Health",Table5[Cost Subcategory],"REPAIRS/MAINTENANCE",Table5[Month],"NOVEMBER")</f>
        <v>0</v>
      </c>
      <c r="M82" s="39">
        <f>SUMIFS(Table5[Expense],Table5[Service Line],"Home Health",Table5[Cost Subcategory],"REPAIRS/MAINTENANCE",Table5[Month],"DECEMBER")</f>
        <v>0</v>
      </c>
      <c r="N82" s="43">
        <f t="shared" si="16"/>
        <v>0</v>
      </c>
      <c r="P82" s="198"/>
    </row>
    <row r="83" spans="1:16" ht="16.5" thickTop="1" thickBot="1" x14ac:dyDescent="0.35">
      <c r="A83" s="31" t="s">
        <v>56</v>
      </c>
      <c r="B83" s="39">
        <f>SUMIFS(Table5[Expense],Table5[Service Line],"Home Health",Table5[Cost Subcategory],"STORAGE",Table5[Month],"JANUARY")</f>
        <v>0</v>
      </c>
      <c r="C83" s="39">
        <f>SUMIFS(Table5[Expense],Table5[Service Line],"Home Health",Table5[Cost Subcategory],"STORAGE",Table5[Month],"FEBRUARY")</f>
        <v>0</v>
      </c>
      <c r="D83" s="39">
        <f>SUMIFS(Table5[Expense],Table5[Service Line],"Home Health",Table5[Cost Subcategory],"STORAGE",Table5[Month],"MARCH")</f>
        <v>0</v>
      </c>
      <c r="E83" s="39">
        <f>SUMIFS(Table5[Expense],Table5[Service Line],"Home Health",Table5[Cost Subcategory],"STORAGE",Table5[Month],"APRIL")</f>
        <v>0</v>
      </c>
      <c r="F83" s="39">
        <f>SUMIFS(Table5[Expense],Table5[Service Line],"Home Health",Table5[Cost Subcategory],"STORAGE",Table5[Month],"MAY")</f>
        <v>0</v>
      </c>
      <c r="G83" s="39">
        <f>SUMIFS(Table5[Expense],Table5[Service Line],"Home Health",Table5[Cost Subcategory],"STORAGE",Table5[Month],"JUNE")</f>
        <v>0</v>
      </c>
      <c r="H83" s="39">
        <f>SUMIFS(Table5[Expense],Table5[Service Line],"Home Health",Table5[Cost Subcategory],"STORAGE",Table5[Month],"JULY")</f>
        <v>0</v>
      </c>
      <c r="I83" s="39">
        <f>SUMIFS(Table5[Expense],Table5[Service Line],"Home Health",Table5[Cost Subcategory],"STORAGE",Table5[Month],"AUGUST")</f>
        <v>0</v>
      </c>
      <c r="J83" s="39">
        <f>SUMIFS(Table5[Expense],Table5[Service Line],"Home Health",Table5[Cost Subcategory],"STORAGE",Table5[Month],"SEPTEMBER")</f>
        <v>0</v>
      </c>
      <c r="K83" s="39">
        <f>SUMIFS(Table5[Expense],Table5[Service Line],"Home Health",Table5[Cost Subcategory],"STORAGE",Table5[Month],"OCTOBER")</f>
        <v>0</v>
      </c>
      <c r="L83" s="39">
        <f>SUMIFS(Table5[Expense],Table5[Service Line],"Home Health",Table5[Cost Subcategory],"STORAGE",Table5[Month],"NOVEMBER")</f>
        <v>0</v>
      </c>
      <c r="M83" s="39">
        <f>SUMIFS(Table5[Expense],Table5[Service Line],"Home Health",Table5[Cost Subcategory],"STORAGE",Table5[Month],"DECEMBER")</f>
        <v>0</v>
      </c>
      <c r="N83" s="43">
        <f t="shared" si="5"/>
        <v>0</v>
      </c>
      <c r="P83" s="198"/>
    </row>
    <row r="84" spans="1:16" ht="16.5" thickTop="1" thickBot="1" x14ac:dyDescent="0.35">
      <c r="A84" s="31" t="s">
        <v>131</v>
      </c>
      <c r="B84" s="39">
        <f>SUMIFS(Table5[Expense],Table5[Service Line],"Home Health",Table5[Cost Subcategory],"TECHNOLOGY",Table5[Month],"JANUARY")</f>
        <v>0</v>
      </c>
      <c r="C84" s="39">
        <f>SUMIFS(Table5[Expense],Table5[Service Line],"Home Health",Table5[Cost Subcategory],"TECHNOLOGY",Table5[Month],"FEBRUARY")</f>
        <v>0</v>
      </c>
      <c r="D84" s="39">
        <f>SUMIFS(Table5[Expense],Table5[Service Line],"Home Health",Table5[Cost Subcategory],"TECHNOLOGY",Table5[Month],"MARCH")</f>
        <v>0</v>
      </c>
      <c r="E84" s="39">
        <f>SUMIFS(Table5[Expense],Table5[Service Line],"Home Health",Table5[Cost Subcategory],"TECHNOLOGY",Table5[Month],"APRIL")</f>
        <v>0</v>
      </c>
      <c r="F84" s="39">
        <f>SUMIFS(Table5[Expense],Table5[Service Line],"Home Health",Table5[Cost Subcategory],"TECHNOLOGY",Table5[Month],"MAY")</f>
        <v>0</v>
      </c>
      <c r="G84" s="39">
        <f>SUMIFS(Table5[Expense],Table5[Service Line],"Home Health",Table5[Cost Subcategory],"TECHNOLOGY",Table5[Month],"JUNE")</f>
        <v>0</v>
      </c>
      <c r="H84" s="39">
        <f>SUMIFS(Table5[Expense],Table5[Service Line],"Home Health",Table5[Cost Subcategory],"TECHNOLOGY",Table5[Month],"JULY")</f>
        <v>0</v>
      </c>
      <c r="I84" s="39">
        <f>SUMIFS(Table5[Expense],Table5[Service Line],"Home Health",Table5[Cost Subcategory],"TECHNOLOGY",Table5[Month],"AUGUST")</f>
        <v>0</v>
      </c>
      <c r="J84" s="39">
        <f>SUMIFS(Table5[Expense],Table5[Service Line],"Home Health",Table5[Cost Subcategory],"TECHNOLOGY",Table5[Month],"SEPTEMBER")</f>
        <v>0</v>
      </c>
      <c r="K84" s="39">
        <f>SUMIFS(Table5[Expense],Table5[Service Line],"Home Health",Table5[Cost Subcategory],"TECHNOLOGY",Table5[Month],"OCTOBER")</f>
        <v>0</v>
      </c>
      <c r="L84" s="39">
        <f>SUMIFS(Table5[Expense],Table5[Service Line],"Home Health",Table5[Cost Subcategory],"TECHNOLOGY",Table5[Month],"NOVEMBER")</f>
        <v>0</v>
      </c>
      <c r="M84" s="39">
        <f>SUMIFS(Table5[Expense],Table5[Service Line],"Home Health",Table5[Cost Subcategory],"TECHNOLOGY",Table5[Month],"DECEMBER")</f>
        <v>0</v>
      </c>
      <c r="N84" s="43">
        <f>SUM(D84:M84)</f>
        <v>0</v>
      </c>
      <c r="P84" s="198"/>
    </row>
    <row r="85" spans="1:16" ht="16.5" thickTop="1" thickBot="1" x14ac:dyDescent="0.35">
      <c r="A85" s="31" t="s">
        <v>115</v>
      </c>
      <c r="B85" s="39">
        <f>SUMIFS(Table5[Expense],Table5[Service Line],"Home Health",Table5[Cost Subcategory],"TELEHEALTH/TELEMEDICINE",Table5[Month],"JANUARY")</f>
        <v>0</v>
      </c>
      <c r="C85" s="39">
        <f>SUMIFS(Table5[Expense],Table5[Service Line],"Home Health",Table5[Cost Subcategory],"TELEHEALTH/TELEMEDICINE",Table5[Month],"FEBRUARY")</f>
        <v>0</v>
      </c>
      <c r="D85" s="39">
        <f>SUMIFS(Table5[Expense],Table5[Service Line],"Home Health",Table5[Cost Subcategory],"TELEHEALTH/TELEMEDICINE",Table5[Month],"MARCH")</f>
        <v>0</v>
      </c>
      <c r="E85" s="39">
        <f>SUMIFS(Table5[Expense],Table5[Service Line],"Home Health",Table5[Cost Subcategory],"TELEHEALTH/TELEMEDICINE",Table5[Month],"APRIL")</f>
        <v>0</v>
      </c>
      <c r="F85" s="39">
        <f>SUMIFS(Table5[Expense],Table5[Service Line],"Home Health",Table5[Cost Subcategory],"TELEHEALTH/TELEMEDICINE",Table5[Month],"MAY")</f>
        <v>0</v>
      </c>
      <c r="G85" s="39">
        <f>SUMIFS(Table5[Expense],Table5[Service Line],"Home Health",Table5[Cost Subcategory],"TELEHEALTH/TELEMEDICINE",Table5[Month],"JUNE")</f>
        <v>0</v>
      </c>
      <c r="H85" s="39">
        <f>SUMIFS(Table5[Expense],Table5[Service Line],"Home Health",Table5[Cost Subcategory],"TELEHEALTH/TELEMEDICINE",Table5[Month],"JULY")</f>
        <v>0</v>
      </c>
      <c r="I85" s="39">
        <f>SUMIFS(Table5[Expense],Table5[Service Line],"Home Health",Table5[Cost Subcategory],"TELEHEALTH/TELEMEDICINE",Table5[Month],"AUGUST")</f>
        <v>0</v>
      </c>
      <c r="J85" s="39">
        <f>SUMIFS(Table5[Expense],Table5[Service Line],"Home Health",Table5[Cost Subcategory],"TELEHEALTH/TELEMEDICINE",Table5[Month],"SEPTEMBER")</f>
        <v>0</v>
      </c>
      <c r="K85" s="39">
        <f>SUMIFS(Table5[Expense],Table5[Service Line],"Home Health",Table5[Cost Subcategory],"TELEHEALTH/TELEMEDICINE",Table5[Month],"OCTOBER")</f>
        <v>0</v>
      </c>
      <c r="L85" s="39">
        <f>SUMIFS(Table5[Expense],Table5[Service Line],"Home Health",Table5[Cost Subcategory],"TELEHEALTH/TELEMEDICINE",Table5[Month],"NOVEMBER")</f>
        <v>0</v>
      </c>
      <c r="M85" s="39">
        <f>SUMIFS(Table5[Expense],Table5[Service Line],"Home Health",Table5[Cost Subcategory],"TELEHEALTH/TELEMEDICINE",Table5[Month],"DECEMBER")</f>
        <v>0</v>
      </c>
      <c r="N85" s="43">
        <f t="shared" si="5"/>
        <v>0</v>
      </c>
      <c r="P85" s="198"/>
    </row>
    <row r="86" spans="1:16" ht="16.5" thickTop="1" thickBot="1" x14ac:dyDescent="0.35">
      <c r="A86" s="31" t="s">
        <v>111</v>
      </c>
      <c r="B86" s="39">
        <f>SUMIFS(Table5[Expense],Table5[Service Line],"Home Health",Table5[Cost Subcategory],"TELEPHONE-MOBILE",Table5[Month],"JANUARY")</f>
        <v>0</v>
      </c>
      <c r="C86" s="39">
        <f>SUMIFS(Table5[Expense],Table5[Service Line],"Home Health",Table5[Cost Subcategory],"TELEPHONE-MOBILE",Table5[Month],"FEBRUARY")</f>
        <v>0</v>
      </c>
      <c r="D86" s="39">
        <f>SUMIFS(Table5[Expense],Table5[Service Line],"Home Health",Table5[Cost Subcategory],"TELEPHONE-MOBILE",Table5[Month],"MARCH")</f>
        <v>0</v>
      </c>
      <c r="E86" s="39">
        <f>SUMIFS(Table5[Expense],Table5[Service Line],"Home Health",Table5[Cost Subcategory],"TELEPHONE-MOBILE",Table5[Month],"APRIL")</f>
        <v>0</v>
      </c>
      <c r="F86" s="39">
        <f>SUMIFS(Table5[Expense],Table5[Service Line],"Home Health",Table5[Cost Subcategory],"TELEPHONE-MOBILE",Table5[Month],"MAY")</f>
        <v>0</v>
      </c>
      <c r="G86" s="39">
        <f>SUMIFS(Table5[Expense],Table5[Service Line],"Home Health",Table5[Cost Subcategory],"TELEPHONE-MOBILE",Table5[Month],"JUNE")</f>
        <v>0</v>
      </c>
      <c r="H86" s="39">
        <f>SUMIFS(Table5[Expense],Table5[Service Line],"Home Health",Table5[Cost Subcategory],"TELEPHONE-MOBILE",Table5[Month],"JULY")</f>
        <v>0</v>
      </c>
      <c r="I86" s="39">
        <f>SUMIFS(Table5[Expense],Table5[Service Line],"Home Health",Table5[Cost Subcategory],"TELEPHONE-MOBILE",Table5[Month],"AUGUST")</f>
        <v>0</v>
      </c>
      <c r="J86" s="39">
        <f>SUMIFS(Table5[Expense],Table5[Service Line],"Home Health",Table5[Cost Subcategory],"TELEPHONE-MOBILE",Table5[Month],"SEPTEMBER")</f>
        <v>0</v>
      </c>
      <c r="K86" s="39">
        <f>SUMIFS(Table5[Expense],Table5[Service Line],"Home Health",Table5[Cost Subcategory],"TELEPHONE-MOBILE",Table5[Month],"OCTOBER")</f>
        <v>0</v>
      </c>
      <c r="L86" s="39">
        <f>SUMIFS(Table5[Expense],Table5[Service Line],"Home Health",Table5[Cost Subcategory],"TELEPHONE-MOBILE",Table5[Month],"NOVEMBER")</f>
        <v>0</v>
      </c>
      <c r="M86" s="39">
        <f>SUMIFS(Table5[Expense],Table5[Service Line],"Home Health",Table5[Cost Subcategory],"TELEPHONE-MOBILE",Table5[Month],"DECEMBER")</f>
        <v>0</v>
      </c>
      <c r="N86" s="43">
        <f t="shared" ref="N86:N88" si="17">SUM(D86:M86)</f>
        <v>0</v>
      </c>
      <c r="P86" s="198"/>
    </row>
    <row r="87" spans="1:16" ht="16.5" thickTop="1" thickBot="1" x14ac:dyDescent="0.35">
      <c r="A87" s="31" t="s">
        <v>112</v>
      </c>
      <c r="B87" s="39">
        <f>SUMIFS(Table5[Expense],Table5[Service Line],"Home Health",Table5[Cost Subcategory],"TELEPHONE-OFFICE",Table5[Month],"JANUARY")</f>
        <v>0</v>
      </c>
      <c r="C87" s="39">
        <f>SUMIFS(Table5[Expense],Table5[Service Line],"Home Health",Table5[Cost Subcategory],"TELEPHONE-OFFICE",Table5[Month],"FEBRUARY")</f>
        <v>0</v>
      </c>
      <c r="D87" s="39">
        <f>SUMIFS(Table5[Expense],Table5[Service Line],"Home Health",Table5[Cost Subcategory],"TELEPHONE-OFFICE",Table5[Month],"MARCH")</f>
        <v>0</v>
      </c>
      <c r="E87" s="39">
        <f>SUMIFS(Table5[Expense],Table5[Service Line],"Home Health",Table5[Cost Subcategory],"TELEPHONE-OFFICE",Table5[Month],"APRIL")</f>
        <v>0</v>
      </c>
      <c r="F87" s="39">
        <f>SUMIFS(Table5[Expense],Table5[Service Line],"Home Health",Table5[Cost Subcategory],"TELEPHONE-OFFICE",Table5[Month],"MAY")</f>
        <v>0</v>
      </c>
      <c r="G87" s="39">
        <f>SUMIFS(Table5[Expense],Table5[Service Line],"Home Health",Table5[Cost Subcategory],"TELEPHONE-OFFICE",Table5[Month],"JUNE")</f>
        <v>0</v>
      </c>
      <c r="H87" s="39">
        <f>SUMIFS(Table5[Expense],Table5[Service Line],"Home Health",Table5[Cost Subcategory],"TELEPHONE-OFFICE",Table5[Month],"JULY")</f>
        <v>0</v>
      </c>
      <c r="I87" s="39">
        <f>SUMIFS(Table5[Expense],Table5[Service Line],"Home Health",Table5[Cost Subcategory],"TELEPHONE-OFFICE",Table5[Month],"AUGUST")</f>
        <v>0</v>
      </c>
      <c r="J87" s="39">
        <f>SUMIFS(Table5[Expense],Table5[Service Line],"Home Health",Table5[Cost Subcategory],"TELEPHONE-OFFICE",Table5[Month],"SEPTEMBER")</f>
        <v>0</v>
      </c>
      <c r="K87" s="39">
        <f>SUMIFS(Table5[Expense],Table5[Service Line],"Home Health",Table5[Cost Subcategory],"TELEPHONE-OFFICE",Table5[Month],"OCTOBER")</f>
        <v>0</v>
      </c>
      <c r="L87" s="39">
        <f>SUMIFS(Table5[Expense],Table5[Service Line],"Home Health",Table5[Cost Subcategory],"TELEPHONE-OFFICE",Table5[Month],"NOVEMBER")</f>
        <v>0</v>
      </c>
      <c r="M87" s="39">
        <f>SUMIFS(Table5[Expense],Table5[Service Line],"Home Health",Table5[Cost Subcategory],"TELEPHONE-OFFICE",Table5[Month],"DECEMBER")</f>
        <v>0</v>
      </c>
      <c r="N87" s="43">
        <f t="shared" si="17"/>
        <v>0</v>
      </c>
      <c r="P87" s="198"/>
    </row>
    <row r="88" spans="1:16" ht="16.5" thickTop="1" thickBot="1" x14ac:dyDescent="0.35">
      <c r="A88" s="31" t="s">
        <v>113</v>
      </c>
      <c r="B88" s="39">
        <f>SUMIFS(Table5[Expense],Table5[Service Line],"Home Health",Table5[Cost Subcategory],"UTILITIES",Table5[Month],"JANUARY")</f>
        <v>0</v>
      </c>
      <c r="C88" s="39">
        <f>SUMIFS(Table5[Expense],Table5[Service Line],"Home Health",Table5[Cost Subcategory],"UTILITIES",Table5[Month],"FEBRUARY")</f>
        <v>0</v>
      </c>
      <c r="D88" s="39">
        <f>SUMIFS(Table5[Expense],Table5[Service Line],"Home Health",Table5[Cost Subcategory],"UTILITIES",Table5[Month],"MARCH")</f>
        <v>0</v>
      </c>
      <c r="E88" s="39">
        <f>SUMIFS(Table5[Expense],Table5[Service Line],"Home Health",Table5[Cost Subcategory],"UTILITIES",Table5[Month],"APRIL")</f>
        <v>0</v>
      </c>
      <c r="F88" s="39">
        <f>SUMIFS(Table5[Expense],Table5[Service Line],"Home Health",Table5[Cost Subcategory],"UTILITIES",Table5[Month],"MAY")</f>
        <v>0</v>
      </c>
      <c r="G88" s="39">
        <f>SUMIFS(Table5[Expense],Table5[Service Line],"Home Health",Table5[Cost Subcategory],"UTILITIES",Table5[Month],"JUNE")</f>
        <v>0</v>
      </c>
      <c r="H88" s="39">
        <f>SUMIFS(Table5[Expense],Table5[Service Line],"Home Health",Table5[Cost Subcategory],"UTILITIES",Table5[Month],"JULY")</f>
        <v>0</v>
      </c>
      <c r="I88" s="39">
        <f>SUMIFS(Table5[Expense],Table5[Service Line],"Home Health",Table5[Cost Subcategory],"UTILITIES",Table5[Month],"AUGUST")</f>
        <v>0</v>
      </c>
      <c r="J88" s="39">
        <f>SUMIFS(Table5[Expense],Table5[Service Line],"Home Health",Table5[Cost Subcategory],"UTILITIES",Table5[Month],"SEPTEMBER")</f>
        <v>0</v>
      </c>
      <c r="K88" s="39">
        <f>SUMIFS(Table5[Expense],Table5[Service Line],"Home Health",Table5[Cost Subcategory],"UTILITIES",Table5[Month],"OCTOBER")</f>
        <v>0</v>
      </c>
      <c r="L88" s="39">
        <f>SUMIFS(Table5[Expense],Table5[Service Line],"Home Health",Table5[Cost Subcategory],"UTILITIES",Table5[Month],"NOVEMBER")</f>
        <v>0</v>
      </c>
      <c r="M88" s="39">
        <f>SUMIFS(Table5[Expense],Table5[Service Line],"Home Health",Table5[Cost Subcategory],"UTILITIES",Table5[Month],"DECEMBER")</f>
        <v>0</v>
      </c>
      <c r="N88" s="43">
        <f t="shared" si="17"/>
        <v>0</v>
      </c>
      <c r="P88" s="198"/>
    </row>
    <row r="89" spans="1:16" ht="16.5" thickTop="1" thickBot="1" x14ac:dyDescent="0.35">
      <c r="A89" s="23" t="s">
        <v>130</v>
      </c>
      <c r="B89" s="28">
        <f t="shared" ref="B89:N89" si="18">SUM(B39:B88)</f>
        <v>0</v>
      </c>
      <c r="C89" s="28">
        <f t="shared" si="18"/>
        <v>0</v>
      </c>
      <c r="D89" s="28">
        <f t="shared" si="18"/>
        <v>0</v>
      </c>
      <c r="E89" s="28">
        <f t="shared" si="18"/>
        <v>0</v>
      </c>
      <c r="F89" s="28">
        <f t="shared" si="18"/>
        <v>0</v>
      </c>
      <c r="G89" s="28">
        <f t="shared" si="18"/>
        <v>0</v>
      </c>
      <c r="H89" s="28">
        <f t="shared" si="18"/>
        <v>0</v>
      </c>
      <c r="I89" s="28">
        <f t="shared" si="18"/>
        <v>0</v>
      </c>
      <c r="J89" s="28">
        <f t="shared" si="18"/>
        <v>0</v>
      </c>
      <c r="K89" s="28">
        <f t="shared" si="18"/>
        <v>0</v>
      </c>
      <c r="L89" s="28">
        <f t="shared" si="18"/>
        <v>0</v>
      </c>
      <c r="M89" s="28">
        <f t="shared" si="18"/>
        <v>0</v>
      </c>
      <c r="N89" s="28">
        <f t="shared" si="18"/>
        <v>0</v>
      </c>
      <c r="P89" s="198"/>
    </row>
    <row r="90" spans="1:16" ht="15.75" thickBot="1" x14ac:dyDescent="0.35">
      <c r="P90" s="199"/>
    </row>
    <row r="91" spans="1:16" ht="16.5" thickTop="1" thickBot="1" x14ac:dyDescent="0.35">
      <c r="A91" s="36" t="s">
        <v>18</v>
      </c>
      <c r="B91" s="38">
        <v>43831</v>
      </c>
      <c r="C91" s="38">
        <v>43862</v>
      </c>
      <c r="D91" s="42">
        <v>43891</v>
      </c>
      <c r="E91" s="42">
        <v>43922</v>
      </c>
      <c r="F91" s="42">
        <v>43952</v>
      </c>
      <c r="G91" s="42">
        <v>43983</v>
      </c>
      <c r="H91" s="42">
        <v>44013</v>
      </c>
      <c r="I91" s="42">
        <v>44044</v>
      </c>
      <c r="J91" s="42">
        <v>44075</v>
      </c>
      <c r="K91" s="42">
        <v>44105</v>
      </c>
      <c r="L91" s="42">
        <v>44136</v>
      </c>
      <c r="M91" s="42">
        <v>44166</v>
      </c>
      <c r="N91" s="42" t="s">
        <v>88</v>
      </c>
      <c r="P91" s="198" t="s">
        <v>7</v>
      </c>
    </row>
    <row r="92" spans="1:16" ht="16.5" thickTop="1" thickBot="1" x14ac:dyDescent="0.35">
      <c r="A92" s="31" t="s">
        <v>45</v>
      </c>
      <c r="B92" s="39">
        <f>SUMIFS(Table5[Expense],Table5[Service Line],"Home Health",Table5[Cost Subcategory],"GENERAL",Table5[Month],"JANUARY")</f>
        <v>0</v>
      </c>
      <c r="C92" s="39">
        <f>SUMIFS(Table5[Expense],Table5[Service Line],"Home Health",Table5[Cost Subcategory],"GENERAL",Table5[Month],"FEBRUARY")</f>
        <v>0</v>
      </c>
      <c r="D92" s="39">
        <f>SUMIFS(Table5[Expense],Table5[Service Line],"Home Health",Table5[Cost Subcategory],"GENERAL",Table5[Month],"MARCH")</f>
        <v>0</v>
      </c>
      <c r="E92" s="39">
        <f>SUMIFS(Table5[Expense],Table5[Service Line],"Home Health",Table5[Cost Subcategory],"GENERAL",Table5[Month],"APRIL")</f>
        <v>0</v>
      </c>
      <c r="F92" s="39">
        <f>SUMIFS(Table5[Expense],Table5[Service Line],"Home Health",Table5[Cost Subcategory],"GENERAL",Table5[Month],"MAY")</f>
        <v>0</v>
      </c>
      <c r="G92" s="39">
        <f>SUMIFS(Table5[Expense],Table5[Service Line],"Home Health",Table5[Cost Subcategory],"GENERAL",Table5[Month],"JUNE")</f>
        <v>0</v>
      </c>
      <c r="H92" s="39">
        <f>SUMIFS(Table5[Expense],Table5[Service Line],"Home Health",Table5[Cost Subcategory],"GENERAL",Table5[Month],"JULY")</f>
        <v>0</v>
      </c>
      <c r="I92" s="39">
        <f>SUMIFS(Table5[Expense],Table5[Service Line],"Home Health",Table5[Cost Subcategory],"GENERAL",Table5[Month],"AUGUST")</f>
        <v>0</v>
      </c>
      <c r="J92" s="39">
        <f>SUMIFS(Table5[Expense],Table5[Service Line],"Home Health",Table5[Cost Subcategory],"GENERAL",Table5[Month],"SEPTEMBER")</f>
        <v>0</v>
      </c>
      <c r="K92" s="39">
        <f>SUMIFS(Table5[Expense],Table5[Service Line],"Home Health",Table5[Cost Subcategory],"GENERAL",Table5[Month],"OCTOBER")</f>
        <v>0</v>
      </c>
      <c r="L92" s="39">
        <f>SUMIFS(Table5[Expense],Table5[Service Line],"Home Health",Table5[Cost Subcategory],"GENERAL",Table5[Month],"NOVEMBER")</f>
        <v>0</v>
      </c>
      <c r="M92" s="39">
        <f>SUMIFS(Table5[Expense],Table5[Service Line],"Home Health",Table5[Cost Subcategory],"GENERAL",Table5[Month],"DECEMBER")</f>
        <v>0</v>
      </c>
      <c r="N92" s="43">
        <f t="shared" ref="N92" si="19">SUM(D92:M92)</f>
        <v>0</v>
      </c>
      <c r="P92" s="198"/>
    </row>
    <row r="93" spans="1:16" ht="16.5" thickTop="1" thickBot="1" x14ac:dyDescent="0.35">
      <c r="A93" s="23" t="s">
        <v>92</v>
      </c>
      <c r="B93" s="28">
        <f t="shared" ref="B93:C93" si="20">SUM(B92:B92)</f>
        <v>0</v>
      </c>
      <c r="C93" s="28">
        <f t="shared" si="20"/>
        <v>0</v>
      </c>
      <c r="D93" s="28">
        <f t="shared" ref="D93:N93" si="21">SUM(D92:D92)</f>
        <v>0</v>
      </c>
      <c r="E93" s="28">
        <f t="shared" si="21"/>
        <v>0</v>
      </c>
      <c r="F93" s="28">
        <f t="shared" si="21"/>
        <v>0</v>
      </c>
      <c r="G93" s="28">
        <f t="shared" si="21"/>
        <v>0</v>
      </c>
      <c r="H93" s="28">
        <f t="shared" si="21"/>
        <v>0</v>
      </c>
      <c r="I93" s="28">
        <f t="shared" si="21"/>
        <v>0</v>
      </c>
      <c r="J93" s="28">
        <f t="shared" si="21"/>
        <v>0</v>
      </c>
      <c r="K93" s="28">
        <f t="shared" si="21"/>
        <v>0</v>
      </c>
      <c r="L93" s="28">
        <f t="shared" si="21"/>
        <v>0</v>
      </c>
      <c r="M93" s="28">
        <f t="shared" si="21"/>
        <v>0</v>
      </c>
      <c r="N93" s="28">
        <f t="shared" si="21"/>
        <v>0</v>
      </c>
      <c r="P93" s="198"/>
    </row>
    <row r="94" spans="1:16" ht="15.75" thickBot="1" x14ac:dyDescent="0.35"/>
    <row r="95" spans="1:16" ht="15.75" thickBot="1" x14ac:dyDescent="0.35">
      <c r="A95" s="23" t="s">
        <v>87</v>
      </c>
      <c r="B95" s="28">
        <f t="shared" ref="B95:N95" si="22">SUM(B93+B89+B36+B22)</f>
        <v>0</v>
      </c>
      <c r="C95" s="28">
        <f t="shared" si="22"/>
        <v>0</v>
      </c>
      <c r="D95" s="28">
        <f t="shared" si="22"/>
        <v>0</v>
      </c>
      <c r="E95" s="28">
        <f t="shared" si="22"/>
        <v>0</v>
      </c>
      <c r="F95" s="28">
        <f t="shared" si="22"/>
        <v>0</v>
      </c>
      <c r="G95" s="28">
        <f t="shared" si="22"/>
        <v>0</v>
      </c>
      <c r="H95" s="28">
        <f t="shared" si="22"/>
        <v>0</v>
      </c>
      <c r="I95" s="28">
        <f t="shared" si="22"/>
        <v>0</v>
      </c>
      <c r="J95" s="28">
        <f t="shared" si="22"/>
        <v>0</v>
      </c>
      <c r="K95" s="28">
        <f t="shared" si="22"/>
        <v>0</v>
      </c>
      <c r="L95" s="28">
        <f t="shared" si="22"/>
        <v>0</v>
      </c>
      <c r="M95" s="28">
        <f t="shared" si="22"/>
        <v>0</v>
      </c>
      <c r="N95" s="28">
        <f t="shared" si="22"/>
        <v>0</v>
      </c>
    </row>
  </sheetData>
  <sheetProtection algorithmName="SHA-512" hashValue="tIjx99nz7ZcCnySWXPAPdH3Cgsq7l6c/0eHOdIr79Yu8HfWCwjM1OVZKVRg3QaUxzgo/+CHNRRHexMTFFGbz9g==" saltValue="AIf1TCyy5b6AR2rHvPcs2w=="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B736B-1859-40E4-89E2-9DBA0FA5CB09}">
  <sheetPr>
    <tabColor theme="5" tint="0.79998168889431442"/>
  </sheetPr>
  <dimension ref="A1:P95"/>
  <sheetViews>
    <sheetView zoomScale="90" zoomScaleNormal="90" workbookViewId="0">
      <pane xSplit="1" ySplit="2" topLeftCell="B3" activePane="bottomRight" state="frozen"/>
      <selection activeCell="B55" sqref="B55:M55"/>
      <selection pane="topRight" activeCell="B55" sqref="B55:M55"/>
      <selection pane="bottomLeft" activeCell="B55" sqref="B55:M55"/>
      <selection pane="bottomRight" activeCell="B3" sqref="B3"/>
    </sheetView>
  </sheetViews>
  <sheetFormatPr defaultColWidth="9.140625" defaultRowHeight="15" x14ac:dyDescent="0.3"/>
  <cols>
    <col min="1" max="1" width="48" style="22" bestFit="1" customWidth="1"/>
    <col min="2" max="14" width="15.7109375" style="41" customWidth="1"/>
    <col min="15" max="15" width="9.140625" style="22"/>
    <col min="16" max="16" width="35.85546875" style="44" customWidth="1"/>
    <col min="17" max="17" width="18.42578125" style="22" bestFit="1" customWidth="1"/>
    <col min="18" max="16384" width="9.140625" style="22"/>
  </cols>
  <sheetData>
    <row r="1" spans="1:16" s="132" customFormat="1" ht="18" x14ac:dyDescent="0.35">
      <c r="A1" s="201" t="s">
        <v>86</v>
      </c>
      <c r="B1" s="131"/>
      <c r="C1" s="131"/>
      <c r="D1" s="131"/>
      <c r="E1" s="131"/>
      <c r="F1" s="131"/>
      <c r="G1" s="131"/>
      <c r="H1" s="131"/>
      <c r="I1" s="131"/>
      <c r="J1" s="131"/>
      <c r="K1" s="131"/>
      <c r="L1" s="131"/>
      <c r="M1" s="131"/>
      <c r="N1" s="131"/>
      <c r="P1" s="44"/>
    </row>
    <row r="2" spans="1:16" s="132" customFormat="1" ht="18" x14ac:dyDescent="0.35">
      <c r="A2" s="201" t="s">
        <v>127</v>
      </c>
      <c r="B2" s="131"/>
      <c r="C2" s="131"/>
      <c r="D2" s="131"/>
      <c r="E2" s="131"/>
      <c r="F2" s="133"/>
      <c r="G2" s="133"/>
      <c r="H2" s="133"/>
      <c r="I2" s="133"/>
      <c r="J2" s="133"/>
      <c r="K2" s="133"/>
      <c r="L2" s="133"/>
      <c r="M2" s="133"/>
      <c r="N2" s="133"/>
      <c r="P2" s="44"/>
    </row>
    <row r="3" spans="1:16" s="132" customFormat="1" ht="15.75" thickBot="1" x14ac:dyDescent="0.35">
      <c r="A3" s="51"/>
      <c r="B3" s="134"/>
      <c r="C3" s="134"/>
      <c r="D3" s="134"/>
      <c r="E3" s="134"/>
      <c r="F3" s="133"/>
      <c r="G3" s="133"/>
      <c r="H3" s="133"/>
      <c r="I3" s="133"/>
      <c r="J3" s="133"/>
      <c r="K3" s="133"/>
      <c r="L3" s="133"/>
      <c r="M3" s="133"/>
      <c r="N3" s="133"/>
      <c r="P3" s="44"/>
    </row>
    <row r="4" spans="1:16" ht="16.5" thickTop="1" thickBot="1" x14ac:dyDescent="0.35">
      <c r="A4" s="37" t="s">
        <v>83</v>
      </c>
      <c r="B4" s="38">
        <v>43831</v>
      </c>
      <c r="C4" s="38">
        <v>43862</v>
      </c>
      <c r="D4" s="38">
        <v>43891</v>
      </c>
      <c r="E4" s="38">
        <v>43922</v>
      </c>
      <c r="F4" s="42">
        <v>43952</v>
      </c>
      <c r="G4" s="42">
        <v>43983</v>
      </c>
      <c r="H4" s="42">
        <v>44013</v>
      </c>
      <c r="I4" s="42">
        <v>44044</v>
      </c>
      <c r="J4" s="42">
        <v>44075</v>
      </c>
      <c r="K4" s="42">
        <v>44105</v>
      </c>
      <c r="L4" s="42">
        <v>44136</v>
      </c>
      <c r="M4" s="42">
        <v>44166</v>
      </c>
      <c r="N4" s="42" t="s">
        <v>88</v>
      </c>
      <c r="P4" s="198" t="s">
        <v>7</v>
      </c>
    </row>
    <row r="5" spans="1:16" ht="16.5" thickTop="1" thickBot="1" x14ac:dyDescent="0.35">
      <c r="A5" s="24" t="s">
        <v>27</v>
      </c>
      <c r="B5" s="39">
        <f>SUMIFS(Table5[Expense],Table5[Service Line],"Hospice",Table5[Cost Subcategory],"CONTRACT LABOR",Table5[Month],"JANUARY")</f>
        <v>0</v>
      </c>
      <c r="C5" s="39">
        <f>SUMIFS(Table5[Expense],Table5[Service Line],"Hospice",Table5[Cost Subcategory],"CONTRACT LABOR",Table5[Month],"FEBRUARY")</f>
        <v>0</v>
      </c>
      <c r="D5" s="39">
        <f>SUMIFS(Table5[Expense],Table5[Service Line],"Hospice",Table5[Cost Subcategory],"CONTRACT LABOR",Table5[Month],"MARCH")</f>
        <v>0</v>
      </c>
      <c r="E5" s="39">
        <f>SUMIFS(Table5[Expense],Table5[Service Line],"Hospice",Table5[Cost Subcategory],"CONTRACT LABOR",Table5[Month],"APRIL")</f>
        <v>0</v>
      </c>
      <c r="F5" s="39">
        <f>SUMIFS(Table5[Expense],Table5[Service Line],"Hospice",Table5[Cost Subcategory],"CONTRACT LABOR",Table5[Month],"MAY")</f>
        <v>0</v>
      </c>
      <c r="G5" s="39">
        <f>SUMIFS(Table5[Expense],Table5[Service Line],"Hospice",Table5[Cost Subcategory],"CONTRACT LABOR",Table5[Month],"JUNE")</f>
        <v>0</v>
      </c>
      <c r="H5" s="39">
        <f>SUMIFS(Table5[Expense],Table5[Service Line],"Hospice",Table5[Cost Subcategory],"CONTRACT LABOR",Table5[Month],"JULY")</f>
        <v>0</v>
      </c>
      <c r="I5" s="39">
        <f>SUMIFS(Table5[Expense],Table5[Service Line],"Hospice",Table5[Cost Subcategory],"CONTRACT LABOR",Table5[Month],"AUGUST")</f>
        <v>0</v>
      </c>
      <c r="J5" s="39">
        <f>SUMIFS(Table5[Expense],Table5[Service Line],"Hospice",Table5[Cost Subcategory],"CONTRACT LABOR",Table5[Month],"SEPTEMBER")</f>
        <v>0</v>
      </c>
      <c r="K5" s="39">
        <f>SUMIFS(Table5[Expense],Table5[Service Line],"Hospice",Table5[Cost Subcategory],"CONTRACT LABOR",Table5[Month],"OCTOBER")</f>
        <v>0</v>
      </c>
      <c r="L5" s="39">
        <f>SUMIFS(Table5[Expense],Table5[Service Line],"Hospice",Table5[Cost Subcategory],"CONTRACT LABOR",Table5[Month],"NOVEMBER")</f>
        <v>0</v>
      </c>
      <c r="M5" s="39">
        <f>SUMIFS(Table5[Expense],Table5[Service Line],"Hospice",Table5[Cost Subcategory],"CONTRACT LABOR",Table5[Month],"DECEMBER")</f>
        <v>0</v>
      </c>
      <c r="N5" s="43">
        <f>SUM(D5:M5)</f>
        <v>0</v>
      </c>
      <c r="P5" s="198"/>
    </row>
    <row r="6" spans="1:16" ht="16.5" thickTop="1" thickBot="1" x14ac:dyDescent="0.35">
      <c r="A6" s="32" t="s">
        <v>47</v>
      </c>
      <c r="B6" s="39">
        <f>SUMIFS(Table5[Expense],Table5[Service Line],"Hospice",Table5[Cost Subcategory],"DME",Table5[Month],"JANUARY")</f>
        <v>0</v>
      </c>
      <c r="C6" s="39">
        <f>SUMIFS(Table5[Expense],Table5[Service Line],"Hospice",Table5[Cost Subcategory],"DME",Table5[Month],"FEBRUARY")</f>
        <v>0</v>
      </c>
      <c r="D6" s="39">
        <f>SUMIFS(Table5[Expense],Table5[Service Line],"Hospice",Table5[Cost Subcategory],"DME",Table5[Month],"MARCH")</f>
        <v>0</v>
      </c>
      <c r="E6" s="39">
        <f>SUMIFS(Table5[Expense],Table5[Service Line],"Hospice",Table5[Cost Subcategory],"DME",Table5[Month],"APRIL")</f>
        <v>0</v>
      </c>
      <c r="F6" s="39">
        <f>SUMIFS(Table5[Expense],Table5[Service Line],"Hospice",Table5[Cost Subcategory],"DME",Table5[Month],"MAY")</f>
        <v>0</v>
      </c>
      <c r="G6" s="39">
        <f>SUMIFS(Table5[Expense],Table5[Service Line],"Hospice",Table5[Cost Subcategory],"DME",Table5[Month],"JUNE")</f>
        <v>0</v>
      </c>
      <c r="H6" s="39">
        <f>SUMIFS(Table5[Expense],Table5[Service Line],"Hospice",Table5[Cost Subcategory],"DME",Table5[Month],"JULY")</f>
        <v>0</v>
      </c>
      <c r="I6" s="39">
        <f>SUMIFS(Table5[Expense],Table5[Service Line],"Hospice",Table5[Cost Subcategory],"DME",Table5[Month],"AUGUST")</f>
        <v>0</v>
      </c>
      <c r="J6" s="39">
        <f>SUMIFS(Table5[Expense],Table5[Service Line],"Hospice",Table5[Cost Subcategory],"DME",Table5[Month],"SEPTEMBER")</f>
        <v>0</v>
      </c>
      <c r="K6" s="39">
        <f>SUMIFS(Table5[Expense],Table5[Service Line],"Hospice",Table5[Cost Subcategory],"DME",Table5[Month],"OCTOBER")</f>
        <v>0</v>
      </c>
      <c r="L6" s="39">
        <f>SUMIFS(Table5[Expense],Table5[Service Line],"Hospice",Table5[Cost Subcategory],"DME",Table5[Month],"NOVEMBER")</f>
        <v>0</v>
      </c>
      <c r="M6" s="39">
        <f>SUMIFS(Table5[Expense],Table5[Service Line],"Hospice",Table5[Cost Subcategory],"DME",Table5[Month],"DECEMBER")</f>
        <v>0</v>
      </c>
      <c r="N6" s="43">
        <f>SUM(D6:M6)</f>
        <v>0</v>
      </c>
      <c r="P6" s="198"/>
    </row>
    <row r="7" spans="1:16" ht="16.5" thickTop="1" thickBot="1" x14ac:dyDescent="0.35">
      <c r="A7" s="31" t="s">
        <v>94</v>
      </c>
      <c r="B7" s="40">
        <f>SUMIFS(Table5[Expense],Table5[Service Line],"Hospice",Table5[Cost Subcategory],"MEDICAL SUPPLIES",Table5[Month],"JANUARY")</f>
        <v>0</v>
      </c>
      <c r="C7" s="40">
        <f>SUMIFS(Table5[Expense],Table5[Service Line],"Hospice",Table5[Cost Subcategory],"MEDICAL SUPPLIES",Table5[Month],"FEBRUARY")</f>
        <v>0</v>
      </c>
      <c r="D7" s="40">
        <f>SUMIFS(Table5[Expense],Table5[Service Line],"Hospice",Table5[Cost Subcategory],"MEDICAL SUPPLIES",Table5[Month],"MARCH")</f>
        <v>0</v>
      </c>
      <c r="E7" s="39">
        <f>SUMIFS(Table5[Expense],Table5[Service Line],"Hospice",Table5[Cost Subcategory],"MEDICAL SUPPLIES",Table5[Month],"APRIL")</f>
        <v>0</v>
      </c>
      <c r="F7" s="39">
        <f>SUMIFS(Table5[Expense],Table5[Service Line],"Hospice",Table5[Cost Subcategory],"MEDICAL SUPPLIES",Table5[Month],"MAY")</f>
        <v>0</v>
      </c>
      <c r="G7" s="39">
        <f>SUMIFS(Table5[Expense],Table5[Service Line],"Hospice",Table5[Cost Subcategory],"MEDICAL SUPPLIES",Table5[Month],"JUNE")</f>
        <v>0</v>
      </c>
      <c r="H7" s="39">
        <f>SUMIFS(Table5[Expense],Table5[Service Line],"Hospice",Table5[Cost Subcategory],"MEDICAL SUPPLIES",Table5[Month],"JULY")</f>
        <v>0</v>
      </c>
      <c r="I7" s="39">
        <f>SUMIFS(Table5[Expense],Table5[Service Line],"Hospice",Table5[Cost Subcategory],"MEDICAL SUPPLIES",Table5[Month],"AUGUST")</f>
        <v>0</v>
      </c>
      <c r="J7" s="39">
        <f>SUMIFS(Table5[Expense],Table5[Service Line],"Hospice",Table5[Cost Subcategory],"MEDICAL SUPPLIES",Table5[Month],"SEPTEMBER")</f>
        <v>0</v>
      </c>
      <c r="K7" s="39">
        <f>SUMIFS(Table5[Expense],Table5[Service Line],"Hospice",Table5[Cost Subcategory],"MEDICAL SUPPLIES",Table5[Month],"OCTOBER")</f>
        <v>0</v>
      </c>
      <c r="L7" s="39">
        <f>SUMIFS(Table5[Expense],Table5[Service Line],"Hospice",Table5[Cost Subcategory],"MEDICAL SUPPLIES",Table5[Month],"NOVEMBER")</f>
        <v>0</v>
      </c>
      <c r="M7" s="39">
        <f>SUMIFS(Table5[Expense],Table5[Service Line],"Hospice",Table5[Cost Subcategory],"MEDICAL SUPPLIES",Table5[Month],"DECEMBER")</f>
        <v>0</v>
      </c>
      <c r="N7" s="43">
        <f>SUM(D7:M7)</f>
        <v>0</v>
      </c>
      <c r="P7" s="198"/>
    </row>
    <row r="8" spans="1:16" ht="16.5" thickTop="1" thickBot="1" x14ac:dyDescent="0.35">
      <c r="A8" s="24" t="s">
        <v>95</v>
      </c>
      <c r="B8" s="39">
        <f>SUMIFS(Table5[Expense],Table5[Service Line],"Hospice",Table5[Cost Subcategory],"MILEAGE",Table5[Month],"JANUARY")</f>
        <v>0</v>
      </c>
      <c r="C8" s="39">
        <f>SUMIFS(Table5[Expense],Table5[Service Line],"Hospice",Table5[Cost Subcategory],"MILEAGE",Table5[Month],"FEBRUARY")</f>
        <v>0</v>
      </c>
      <c r="D8" s="39">
        <f>SUMIFS(Table5[Expense],Table5[Service Line],"Hospice",Table5[Cost Subcategory],"MILEAGE",Table5[Month],"MARCH")</f>
        <v>0</v>
      </c>
      <c r="E8" s="39">
        <f>SUMIFS(Table5[Expense],Table5[Service Line],"Hospice",Table5[Cost Subcategory],"MILEAGE",Table5[Month],"APRIL")</f>
        <v>0</v>
      </c>
      <c r="F8" s="39">
        <f>SUMIFS(Table5[Expense],Table5[Service Line],"Hospice",Table5[Cost Subcategory],"MILEAGE",Table5[Month],"MAY")</f>
        <v>0</v>
      </c>
      <c r="G8" s="39">
        <f>SUMIFS(Table5[Expense],Table5[Service Line],"Hospice",Table5[Cost Subcategory],"MILEAGE",Table5[Month],"JUNE")</f>
        <v>0</v>
      </c>
      <c r="H8" s="39">
        <f>SUMIFS(Table5[Expense],Table5[Service Line],"Hospice",Table5[Cost Subcategory],"MILEAGE",Table5[Month],"JULY")</f>
        <v>0</v>
      </c>
      <c r="I8" s="39">
        <f>SUMIFS(Table5[Expense],Table5[Service Line],"Hospice",Table5[Cost Subcategory],"MILEAGE",Table5[Month],"AUGUST")</f>
        <v>0</v>
      </c>
      <c r="J8" s="39">
        <f>SUMIFS(Table5[Expense],Table5[Service Line],"Hospice",Table5[Cost Subcategory],"MILEAGE",Table5[Month],"SEPTEMBER")</f>
        <v>0</v>
      </c>
      <c r="K8" s="39">
        <f>SUMIFS(Table5[Expense],Table5[Service Line],"Hospice",Table5[Cost Subcategory],"MILEAGE",Table5[Month],"OCTOBER")</f>
        <v>0</v>
      </c>
      <c r="L8" s="39">
        <f>SUMIFS(Table5[Expense],Table5[Service Line],"Hospice",Table5[Cost Subcategory],"MILEAGE",Table5[Month],"NOVEMBER")</f>
        <v>0</v>
      </c>
      <c r="M8" s="39">
        <f>SUMIFS(Table5[Expense],Table5[Service Line],"Hospice",Table5[Cost Subcategory],"MILEAGE",Table5[Month],"DECEMBER")</f>
        <v>0</v>
      </c>
      <c r="N8" s="43">
        <f>SUM(D8:M8)</f>
        <v>0</v>
      </c>
      <c r="P8" s="198"/>
    </row>
    <row r="9" spans="1:16" ht="16.5" thickTop="1" thickBot="1" x14ac:dyDescent="0.35">
      <c r="A9" s="24" t="s">
        <v>46</v>
      </c>
      <c r="B9" s="39">
        <f>SUMIFS(Table5[Expense],Table5[Service Line],"Hospice",Table5[Cost Subcategory],"WAGES-CHAPLAIN",Table5[Month],"JANUARY")</f>
        <v>0</v>
      </c>
      <c r="C9" s="39">
        <f>SUMIFS(Table5[Expense],Table5[Service Line],"Hospice",Table5[Cost Subcategory],"WAGES-CHAPLAIN",Table5[Month],"FEBRUARY")</f>
        <v>0</v>
      </c>
      <c r="D9" s="39">
        <f>SUMIFS(Table5[Expense],Table5[Service Line],"Hospice",Table5[Cost Subcategory],"WAGES-CHAPLAIN",Table5[Month],"MARCH")</f>
        <v>0</v>
      </c>
      <c r="E9" s="39">
        <f>SUMIFS(Table5[Expense],Table5[Service Line],"Hospice",Table5[Cost Subcategory],"WAGES-CHAPLAIN",Table5[Month],"APRIL")</f>
        <v>0</v>
      </c>
      <c r="F9" s="39">
        <f>SUMIFS(Table5[Expense],Table5[Service Line],"Hospice",Table5[Cost Subcategory],"WAGES-CHAPLAIN",Table5[Month],"MAY")</f>
        <v>0</v>
      </c>
      <c r="G9" s="39">
        <f>SUMIFS(Table5[Expense],Table5[Service Line],"Hospice",Table5[Cost Subcategory],"WAGES-CHAPLAIN",Table5[Month],"JUNE")</f>
        <v>0</v>
      </c>
      <c r="H9" s="39">
        <f>SUMIFS(Table5[Expense],Table5[Service Line],"Hospice",Table5[Cost Subcategory],"WAGES-CHAPLAIN",Table5[Month],"JULY")</f>
        <v>0</v>
      </c>
      <c r="I9" s="39">
        <f>SUMIFS(Table5[Expense],Table5[Service Line],"Hospice",Table5[Cost Subcategory],"WAGES-CHAPLAIN",Table5[Month],"AUGUST")</f>
        <v>0</v>
      </c>
      <c r="J9" s="39">
        <f>SUMIFS(Table5[Expense],Table5[Service Line],"Hospice",Table5[Cost Subcategory],"WAGES-CHAPLAIN",Table5[Month],"SEPTEMBER")</f>
        <v>0</v>
      </c>
      <c r="K9" s="39">
        <f>SUMIFS(Table5[Expense],Table5[Service Line],"Hospice",Table5[Cost Subcategory],"WAGES-CHAPLAIN",Table5[Month],"OCTOBER")</f>
        <v>0</v>
      </c>
      <c r="L9" s="39">
        <f>SUMIFS(Table5[Expense],Table5[Service Line],"Hospice",Table5[Cost Subcategory],"WAGES-CHAPLAIN",Table5[Month],"NOVEMBER")</f>
        <v>0</v>
      </c>
      <c r="M9" s="39">
        <f>SUMIFS(Table5[Expense],Table5[Service Line],"Hospice",Table5[Cost Subcategory],"WAGES-CHAPLAIN",Table5[Month],"DECEMBER")</f>
        <v>0</v>
      </c>
      <c r="N9" s="43">
        <f t="shared" ref="N9:N21" si="0">SUM(D9:M9)</f>
        <v>0</v>
      </c>
      <c r="P9" s="198"/>
    </row>
    <row r="10" spans="1:16" ht="16.5" thickTop="1" thickBot="1" x14ac:dyDescent="0.35">
      <c r="A10" s="24" t="s">
        <v>24</v>
      </c>
      <c r="B10" s="39">
        <f>SUMIFS(Table5[Expense],Table5[Service Line],"Hospice",Table5[Cost Subcategory],"WAGES-HHA",Table5[Month],"JANUARY")</f>
        <v>0</v>
      </c>
      <c r="C10" s="39">
        <f>SUMIFS(Table5[Expense],Table5[Service Line],"Hospice",Table5[Cost Subcategory],"WAGES-HHA",Table5[Month],"FEBRUARY")</f>
        <v>0</v>
      </c>
      <c r="D10" s="39">
        <f>SUMIFS(Table5[Expense],Table5[Service Line],"Hospice",Table5[Cost Subcategory],"WAGES-HHA",Table5[Month],"MARCH")</f>
        <v>0</v>
      </c>
      <c r="E10" s="39">
        <f>SUMIFS(Table5[Expense],Table5[Service Line],"Hospice",Table5[Cost Subcategory],"WAGES-HHA",Table5[Month],"APRIL")</f>
        <v>0</v>
      </c>
      <c r="F10" s="39">
        <f>SUMIFS(Table5[Expense],Table5[Service Line],"Hospice",Table5[Cost Subcategory],"WAGES-HHA",Table5[Month],"MAY")</f>
        <v>0</v>
      </c>
      <c r="G10" s="39">
        <f>SUMIFS(Table5[Expense],Table5[Service Line],"Hospice",Table5[Cost Subcategory],"WAGES-HHA",Table5[Month],"JUNE")</f>
        <v>0</v>
      </c>
      <c r="H10" s="39">
        <f>SUMIFS(Table5[Expense],Table5[Service Line],"Hospice",Table5[Cost Subcategory],"WAGES-HHA",Table5[Month],"JULY")</f>
        <v>0</v>
      </c>
      <c r="I10" s="39">
        <f>SUMIFS(Table5[Expense],Table5[Service Line],"Hospice",Table5[Cost Subcategory],"WAGES-HHA",Table5[Month],"AUGUST")</f>
        <v>0</v>
      </c>
      <c r="J10" s="39">
        <f>SUMIFS(Table5[Expense],Table5[Service Line],"Hospice",Table5[Cost Subcategory],"WAGES-HHA",Table5[Month],"SEPTEMBER")</f>
        <v>0</v>
      </c>
      <c r="K10" s="39">
        <f>SUMIFS(Table5[Expense],Table5[Service Line],"Hospice",Table5[Cost Subcategory],"WAGES-HHA",Table5[Month],"OCTOBER")</f>
        <v>0</v>
      </c>
      <c r="L10" s="39">
        <f>SUMIFS(Table5[Expense],Table5[Service Line],"Hospice",Table5[Cost Subcategory],"WAGES-HHA",Table5[Month],"NOVEMBER")</f>
        <v>0</v>
      </c>
      <c r="M10" s="39">
        <f>SUMIFS(Table5[Expense],Table5[Service Line],"Hospice",Table5[Cost Subcategory],"WAGES-HHA",Table5[Month],"DECEMBER")</f>
        <v>0</v>
      </c>
      <c r="N10" s="43">
        <f t="shared" si="0"/>
        <v>0</v>
      </c>
      <c r="P10" s="198"/>
    </row>
    <row r="11" spans="1:16" ht="16.5" thickTop="1" thickBot="1" x14ac:dyDescent="0.35">
      <c r="A11" s="24" t="s">
        <v>29</v>
      </c>
      <c r="B11" s="39">
        <f>SUMIFS(Table5[Expense],Table5[Service Line],"Hospice",Table5[Cost Subcategory],"WAGES-RN",Table5[Month],"JANUARY")</f>
        <v>0</v>
      </c>
      <c r="C11" s="39">
        <f>SUMIFS(Table5[Expense],Table5[Service Line],"Hospice",Table5[Cost Subcategory],"WAGES-RN",Table5[Month],"FEBRUARY")</f>
        <v>0</v>
      </c>
      <c r="D11" s="39">
        <f>SUMIFS(Table5[Expense],Table5[Service Line],"Hospice",Table5[Cost Subcategory],"WAGES-RN",Table5[Month],"MARCH")</f>
        <v>0</v>
      </c>
      <c r="E11" s="39">
        <f>SUMIFS(Table5[Expense],Table5[Service Line],"Hospice",Table5[Cost Subcategory],"WAGES-RN",Table5[Month],"APRIL")</f>
        <v>0</v>
      </c>
      <c r="F11" s="39">
        <f>SUMIFS(Table5[Expense],Table5[Service Line],"Hospice",Table5[Cost Subcategory],"WAGES-RN",Table5[Month],"MAY")</f>
        <v>0</v>
      </c>
      <c r="G11" s="39">
        <f>SUMIFS(Table5[Expense],Table5[Service Line],"Hospice",Table5[Cost Subcategory],"WAGES-RN",Table5[Month],"JUNE")</f>
        <v>0</v>
      </c>
      <c r="H11" s="39">
        <f>SUMIFS(Table5[Expense],Table5[Service Line],"Hospice",Table5[Cost Subcategory],"WAGES-RN",Table5[Month],"JULY")</f>
        <v>0</v>
      </c>
      <c r="I11" s="39">
        <f>SUMIFS(Table5[Expense],Table5[Service Line],"Hospice",Table5[Cost Subcategory],"WAGES-RN",Table5[Month],"AUGUST")</f>
        <v>0</v>
      </c>
      <c r="J11" s="39">
        <f>SUMIFS(Table5[Expense],Table5[Service Line],"Hospice",Table5[Cost Subcategory],"WAGES-RN",Table5[Month],"SEPTEMBER")</f>
        <v>0</v>
      </c>
      <c r="K11" s="39">
        <f>SUMIFS(Table5[Expense],Table5[Service Line],"Hospice",Table5[Cost Subcategory],"WAGES-RN",Table5[Month],"OCTOBER")</f>
        <v>0</v>
      </c>
      <c r="L11" s="39">
        <f>SUMIFS(Table5[Expense],Table5[Service Line],"Hospice",Table5[Cost Subcategory],"WAGES-RN",Table5[Month],"NOVEMBER")</f>
        <v>0</v>
      </c>
      <c r="M11" s="39">
        <f>SUMIFS(Table5[Expense],Table5[Service Line],"Hospice",Table5[Cost Subcategory],"WAGES-RN",Table5[Month],"DECEMBER")</f>
        <v>0</v>
      </c>
      <c r="N11" s="43">
        <f t="shared" si="0"/>
        <v>0</v>
      </c>
      <c r="P11" s="198"/>
    </row>
    <row r="12" spans="1:16" ht="16.5" thickTop="1" thickBot="1" x14ac:dyDescent="0.35">
      <c r="A12" s="24" t="s">
        <v>28</v>
      </c>
      <c r="B12" s="39">
        <f>SUMIFS(Table5[Expense],Table5[Service Line],"Hospice",Table5[Cost Subcategory],"WAGES-RN",Table5[Month],"JANUARY")</f>
        <v>0</v>
      </c>
      <c r="C12" s="39">
        <f>SUMIFS(Table5[Expense],Table5[Service Line],"Hospice",Table5[Cost Subcategory],"WAGES-RN",Table5[Month],"FEBRUARY")</f>
        <v>0</v>
      </c>
      <c r="D12" s="39">
        <f>SUMIFS(Table5[Expense],Table5[Service Line],"Hospice",Table5[Cost Subcategory],"WAGES-RN",Table5[Month],"MARCH")</f>
        <v>0</v>
      </c>
      <c r="E12" s="39">
        <f>SUMIFS(Table5[Expense],Table5[Service Line],"Hospice",Table5[Cost Subcategory],"WAGES-RN",Table5[Month],"APRIL")</f>
        <v>0</v>
      </c>
      <c r="F12" s="39">
        <f>SUMIFS(Table5[Expense],Table5[Service Line],"Hospice",Table5[Cost Subcategory],"WAGES-RN",Table5[Month],"MAY")</f>
        <v>0</v>
      </c>
      <c r="G12" s="39">
        <f>SUMIFS(Table5[Expense],Table5[Service Line],"Hospice",Table5[Cost Subcategory],"WAGES-RN",Table5[Month],"JUNE")</f>
        <v>0</v>
      </c>
      <c r="H12" s="39">
        <f>SUMIFS(Table5[Expense],Table5[Service Line],"Hospice",Table5[Cost Subcategory],"WAGES-RN",Table5[Month],"JULY")</f>
        <v>0</v>
      </c>
      <c r="I12" s="39">
        <f>SUMIFS(Table5[Expense],Table5[Service Line],"Hospice",Table5[Cost Subcategory],"WAGES-RN",Table5[Month],"AUGUST")</f>
        <v>0</v>
      </c>
      <c r="J12" s="39">
        <f>SUMIFS(Table5[Expense],Table5[Service Line],"Hospice",Table5[Cost Subcategory],"WAGES-RN",Table5[Month],"SEPTEMBER")</f>
        <v>0</v>
      </c>
      <c r="K12" s="39">
        <f>SUMIFS(Table5[Expense],Table5[Service Line],"Hospice",Table5[Cost Subcategory],"WAGES-RN",Table5[Month],"OCTOBER")</f>
        <v>0</v>
      </c>
      <c r="L12" s="39">
        <f>SUMIFS(Table5[Expense],Table5[Service Line],"Hospice",Table5[Cost Subcategory],"WAGES-RN",Table5[Month],"NOVEMBER")</f>
        <v>0</v>
      </c>
      <c r="M12" s="39">
        <f>SUMIFS(Table5[Expense],Table5[Service Line],"Hospice",Table5[Cost Subcategory],"WAGES-RN",Table5[Month],"DECEMBER")</f>
        <v>0</v>
      </c>
      <c r="N12" s="43">
        <f>SUM(D12:M12)</f>
        <v>0</v>
      </c>
      <c r="P12" s="198"/>
    </row>
    <row r="13" spans="1:16" ht="16.5" thickTop="1" thickBot="1" x14ac:dyDescent="0.35">
      <c r="A13" s="24" t="s">
        <v>25</v>
      </c>
      <c r="B13" s="39">
        <f>SUMIFS(Table5[Expense],Table5[Service Line],"Hospice",Table5[Cost Subcategory],"WAGES-MSW",Table5[Month],"JANUARY")</f>
        <v>0</v>
      </c>
      <c r="C13" s="39">
        <f>SUMIFS(Table5[Expense],Table5[Service Line],"Hospice",Table5[Cost Subcategory],"WAGES-MSW",Table5[Month],"FEBRUARY")</f>
        <v>0</v>
      </c>
      <c r="D13" s="39">
        <f>SUMIFS(Table5[Expense],Table5[Service Line],"Hospice",Table5[Cost Subcategory],"WAGES-MSW",Table5[Month],"MARCH")</f>
        <v>0</v>
      </c>
      <c r="E13" s="39">
        <f>SUMIFS(Table5[Expense],Table5[Service Line],"Hospice",Table5[Cost Subcategory],"WAGES-MSW",Table5[Month],"APRIL")</f>
        <v>0</v>
      </c>
      <c r="F13" s="39">
        <f>SUMIFS(Table5[Expense],Table5[Service Line],"Hospice",Table5[Cost Subcategory],"WAGES-MSW",Table5[Month],"MAY")</f>
        <v>0</v>
      </c>
      <c r="G13" s="39">
        <f>SUMIFS(Table5[Expense],Table5[Service Line],"Hospice",Table5[Cost Subcategory],"WAGES-MSW",Table5[Month],"JUNE")</f>
        <v>0</v>
      </c>
      <c r="H13" s="39">
        <f>SUMIFS(Table5[Expense],Table5[Service Line],"Hospice",Table5[Cost Subcategory],"WAGES-MSW",Table5[Month],"JULY")</f>
        <v>0</v>
      </c>
      <c r="I13" s="39">
        <f>SUMIFS(Table5[Expense],Table5[Service Line],"Hospice",Table5[Cost Subcategory],"WAGES-MSW",Table5[Month],"AUGUST")</f>
        <v>0</v>
      </c>
      <c r="J13" s="39">
        <f>SUMIFS(Table5[Expense],Table5[Service Line],"Hospice",Table5[Cost Subcategory],"WAGES-MSW",Table5[Month],"SEPTEMBER")</f>
        <v>0</v>
      </c>
      <c r="K13" s="39">
        <f>SUMIFS(Table5[Expense],Table5[Service Line],"Hospice",Table5[Cost Subcategory],"WAGES-MSW",Table5[Month],"OCTOBER")</f>
        <v>0</v>
      </c>
      <c r="L13" s="39">
        <f>SUMIFS(Table5[Expense],Table5[Service Line],"Hospice",Table5[Cost Subcategory],"WAGES-MSW",Table5[Month],"NOVEMBER")</f>
        <v>0</v>
      </c>
      <c r="M13" s="39">
        <f>SUMIFS(Table5[Expense],Table5[Service Line],"Hospice",Table5[Cost Subcategory],"WAGES-MSW",Table5[Month],"DECEMBER")</f>
        <v>0</v>
      </c>
      <c r="N13" s="43">
        <f t="shared" si="0"/>
        <v>0</v>
      </c>
      <c r="P13" s="198"/>
    </row>
    <row r="14" spans="1:16" ht="16.5" thickTop="1" thickBot="1" x14ac:dyDescent="0.35">
      <c r="A14" s="24" t="s">
        <v>32</v>
      </c>
      <c r="B14" s="39">
        <f>SUMIFS(Table5[Expense],Table5[Service Line],"Hospice",Table5[Cost Subcategory],"WAGES-OT",Table5[Month],"JANUARY")</f>
        <v>0</v>
      </c>
      <c r="C14" s="39">
        <f>SUMIFS(Table5[Expense],Table5[Service Line],"Hospice",Table5[Cost Subcategory],"WAGES-OT",Table5[Month],"FEBRUARY")</f>
        <v>0</v>
      </c>
      <c r="D14" s="39">
        <f>SUMIFS(Table5[Expense],Table5[Service Line],"Hospice",Table5[Cost Subcategory],"WAGES-OT",Table5[Month],"MARCH")</f>
        <v>0</v>
      </c>
      <c r="E14" s="39">
        <f>SUMIFS(Table5[Expense],Table5[Service Line],"Hospice",Table5[Cost Subcategory],"WAGES-OT",Table5[Month],"APRIL")</f>
        <v>0</v>
      </c>
      <c r="F14" s="39">
        <f>SUMIFS(Table5[Expense],Table5[Service Line],"Hospice",Table5[Cost Subcategory],"WAGES-OT",Table5[Month],"MAY")</f>
        <v>0</v>
      </c>
      <c r="G14" s="39">
        <f>SUMIFS(Table5[Expense],Table5[Service Line],"Hospice",Table5[Cost Subcategory],"WAGES-OT",Table5[Month],"JUNE")</f>
        <v>0</v>
      </c>
      <c r="H14" s="39">
        <f>SUMIFS(Table5[Expense],Table5[Service Line],"Hospice",Table5[Cost Subcategory],"WAGES-OT",Table5[Month],"JULY")</f>
        <v>0</v>
      </c>
      <c r="I14" s="39">
        <f>SUMIFS(Table5[Expense],Table5[Service Line],"Hospice",Table5[Cost Subcategory],"WAGES-OT",Table5[Month],"AUGUST")</f>
        <v>0</v>
      </c>
      <c r="J14" s="39">
        <f>SUMIFS(Table5[Expense],Table5[Service Line],"Hospice",Table5[Cost Subcategory],"WAGES-OT",Table5[Month],"SEPTEMBER")</f>
        <v>0</v>
      </c>
      <c r="K14" s="39">
        <f>SUMIFS(Table5[Expense],Table5[Service Line],"Hospice",Table5[Cost Subcategory],"WAGES-OT",Table5[Month],"OCTOBER")</f>
        <v>0</v>
      </c>
      <c r="L14" s="39">
        <f>SUMIFS(Table5[Expense],Table5[Service Line],"Hospice",Table5[Cost Subcategory],"WAGES-OT",Table5[Month],"NOVEMBER")</f>
        <v>0</v>
      </c>
      <c r="M14" s="39">
        <f>SUMIFS(Table5[Expense],Table5[Service Line],"Hospice",Table5[Cost Subcategory],"WAGES-OT",Table5[Month],"DECEMBER")</f>
        <v>0</v>
      </c>
      <c r="N14" s="43">
        <f t="shared" si="0"/>
        <v>0</v>
      </c>
      <c r="P14" s="198"/>
    </row>
    <row r="15" spans="1:16" ht="16.5" thickTop="1" thickBot="1" x14ac:dyDescent="0.35">
      <c r="A15" s="24" t="s">
        <v>33</v>
      </c>
      <c r="B15" s="39">
        <f>SUMIFS(Table5[Expense],Table5[Service Line],"Hospice",Table5[Cost Subcategory],"WAGES-OTA",Table5[Month],"JANUARY")</f>
        <v>0</v>
      </c>
      <c r="C15" s="39">
        <f>SUMIFS(Table5[Expense],Table5[Service Line],"Hospice",Table5[Cost Subcategory],"WAGES-OTA",Table5[Month],"FEBRUARY")</f>
        <v>0</v>
      </c>
      <c r="D15" s="39">
        <f>SUMIFS(Table5[Expense],Table5[Service Line],"Hospice",Table5[Cost Subcategory],"WAGES-OTA",Table5[Month],"MARCH")</f>
        <v>0</v>
      </c>
      <c r="E15" s="39">
        <f>SUMIFS(Table5[Expense],Table5[Service Line],"Hospice",Table5[Cost Subcategory],"WAGES-OTA",Table5[Month],"APRIL")</f>
        <v>0</v>
      </c>
      <c r="F15" s="39">
        <f>SUMIFS(Table5[Expense],Table5[Service Line],"Hospice",Table5[Cost Subcategory],"WAGES-OTA",Table5[Month],"MAY")</f>
        <v>0</v>
      </c>
      <c r="G15" s="39">
        <f>SUMIFS(Table5[Expense],Table5[Service Line],"Hospice",Table5[Cost Subcategory],"WAGES-OTA",Table5[Month],"JUNE")</f>
        <v>0</v>
      </c>
      <c r="H15" s="39">
        <f>SUMIFS(Table5[Expense],Table5[Service Line],"Hospice",Table5[Cost Subcategory],"WAGES-OTA",Table5[Month],"JULY")</f>
        <v>0</v>
      </c>
      <c r="I15" s="39">
        <f>SUMIFS(Table5[Expense],Table5[Service Line],"Hospice",Table5[Cost Subcategory],"WAGES-OTA",Table5[Month],"AUGUST")</f>
        <v>0</v>
      </c>
      <c r="J15" s="39">
        <f>SUMIFS(Table5[Expense],Table5[Service Line],"Hospice",Table5[Cost Subcategory],"WAGES-OTA",Table5[Month],"SEPTEMBER")</f>
        <v>0</v>
      </c>
      <c r="K15" s="39">
        <f>SUMIFS(Table5[Expense],Table5[Service Line],"Hospice",Table5[Cost Subcategory],"WAGES-OTA",Table5[Month],"OCTOBER")</f>
        <v>0</v>
      </c>
      <c r="L15" s="39">
        <f>SUMIFS(Table5[Expense],Table5[Service Line],"Hospice",Table5[Cost Subcategory],"WAGES-OTA",Table5[Month],"NOVEMBER")</f>
        <v>0</v>
      </c>
      <c r="M15" s="39">
        <f>SUMIFS(Table5[Expense],Table5[Service Line],"Hospice",Table5[Cost Subcategory],"WAGES-OTA",Table5[Month],"DECEMBER")</f>
        <v>0</v>
      </c>
      <c r="N15" s="43">
        <f t="shared" si="0"/>
        <v>0</v>
      </c>
      <c r="P15" s="198"/>
    </row>
    <row r="16" spans="1:16" ht="16.5" thickTop="1" thickBot="1" x14ac:dyDescent="0.35">
      <c r="A16" s="24" t="s">
        <v>30</v>
      </c>
      <c r="B16" s="39">
        <f>SUMIFS(Table5[Expense],Table5[Service Line],"Hospice",Table5[Cost Subcategory],"WAGES-PT",Table5[Month],"JANUARY")</f>
        <v>0</v>
      </c>
      <c r="C16" s="39">
        <f>SUMIFS(Table5[Expense],Table5[Service Line],"Hospice",Table5[Cost Subcategory],"WAGES-PT",Table5[Month],"FEBRUARY")</f>
        <v>0</v>
      </c>
      <c r="D16" s="39">
        <f>SUMIFS(Table5[Expense],Table5[Service Line],"Hospice",Table5[Cost Subcategory],"WAGES-PT",Table5[Month],"MARCH")</f>
        <v>0</v>
      </c>
      <c r="E16" s="39">
        <f>SUMIFS(Table5[Expense],Table5[Service Line],"Hospice",Table5[Cost Subcategory],"WAGES-PT",Table5[Month],"APRIL")</f>
        <v>0</v>
      </c>
      <c r="F16" s="39">
        <f>SUMIFS(Table5[Expense],Table5[Service Line],"Hospice",Table5[Cost Subcategory],"WAGES-PT",Table5[Month],"MAY")</f>
        <v>0</v>
      </c>
      <c r="G16" s="39">
        <f>SUMIFS(Table5[Expense],Table5[Service Line],"Hospice",Table5[Cost Subcategory],"WAGES-PT",Table5[Month],"JUNE")</f>
        <v>0</v>
      </c>
      <c r="H16" s="39">
        <f>SUMIFS(Table5[Expense],Table5[Service Line],"Hospice",Table5[Cost Subcategory],"WAGES-PT",Table5[Month],"JULY")</f>
        <v>0</v>
      </c>
      <c r="I16" s="39">
        <f>SUMIFS(Table5[Expense],Table5[Service Line],"Hospice",Table5[Cost Subcategory],"WAGES-PT",Table5[Month],"AUGUST")</f>
        <v>0</v>
      </c>
      <c r="J16" s="39">
        <f>SUMIFS(Table5[Expense],Table5[Service Line],"Hospice",Table5[Cost Subcategory],"WAGES-PT",Table5[Month],"SEPTEMBER")</f>
        <v>0</v>
      </c>
      <c r="K16" s="39">
        <f>SUMIFS(Table5[Expense],Table5[Service Line],"Hospice",Table5[Cost Subcategory],"WAGES-PT",Table5[Month],"OCTOBER")</f>
        <v>0</v>
      </c>
      <c r="L16" s="39">
        <f>SUMIFS(Table5[Expense],Table5[Service Line],"Hospice",Table5[Cost Subcategory],"WAGES-PT",Table5[Month],"NOVEMBER")</f>
        <v>0</v>
      </c>
      <c r="M16" s="39">
        <f>SUMIFS(Table5[Expense],Table5[Service Line],"Hospice",Table5[Cost Subcategory],"WAGES-PT",Table5[Month],"DECEMBER")</f>
        <v>0</v>
      </c>
      <c r="N16" s="43">
        <f t="shared" si="0"/>
        <v>0</v>
      </c>
      <c r="P16" s="198"/>
    </row>
    <row r="17" spans="1:16" ht="16.5" thickTop="1" thickBot="1" x14ac:dyDescent="0.35">
      <c r="A17" s="24" t="s">
        <v>31</v>
      </c>
      <c r="B17" s="39">
        <f>SUMIFS(Table5[Expense],Table5[Service Line],"Hospice",Table5[Cost Subcategory],"WAGES-PTA",Table5[Month],"JANUARY")</f>
        <v>0</v>
      </c>
      <c r="C17" s="39">
        <f>SUMIFS(Table5[Expense],Table5[Service Line],"Hospice",Table5[Cost Subcategory],"WAGES-PTA",Table5[Month],"FEBRUARY")</f>
        <v>0</v>
      </c>
      <c r="D17" s="39">
        <f>SUMIFS(Table5[Expense],Table5[Service Line],"Hospice",Table5[Cost Subcategory],"WAGES-PTA",Table5[Month],"MARCH")</f>
        <v>0</v>
      </c>
      <c r="E17" s="39">
        <f>SUMIFS(Table5[Expense],Table5[Service Line],"Hospice",Table5[Cost Subcategory],"WAGES-PTA",Table5[Month],"APRIL")</f>
        <v>0</v>
      </c>
      <c r="F17" s="39">
        <f>SUMIFS(Table5[Expense],Table5[Service Line],"Hospice",Table5[Cost Subcategory],"WAGES-PTA",Table5[Month],"MAY")</f>
        <v>0</v>
      </c>
      <c r="G17" s="39">
        <f>SUMIFS(Table5[Expense],Table5[Service Line],"Hospice",Table5[Cost Subcategory],"WAGES-PTA",Table5[Month],"JUNE")</f>
        <v>0</v>
      </c>
      <c r="H17" s="39">
        <f>SUMIFS(Table5[Expense],Table5[Service Line],"Hospice",Table5[Cost Subcategory],"WAGES-PTA",Table5[Month],"JULY")</f>
        <v>0</v>
      </c>
      <c r="I17" s="39">
        <f>SUMIFS(Table5[Expense],Table5[Service Line],"Hospice",Table5[Cost Subcategory],"WAGES-PTA",Table5[Month],"AUGUST")</f>
        <v>0</v>
      </c>
      <c r="J17" s="39">
        <f>SUMIFS(Table5[Expense],Table5[Service Line],"Hospice",Table5[Cost Subcategory],"WAGES-PTA",Table5[Month],"SEPTEMBER")</f>
        <v>0</v>
      </c>
      <c r="K17" s="39">
        <f>SUMIFS(Table5[Expense],Table5[Service Line],"Hospice",Table5[Cost Subcategory],"WAGES-PTA",Table5[Month],"OCTOBER")</f>
        <v>0</v>
      </c>
      <c r="L17" s="39">
        <f>SUMIFS(Table5[Expense],Table5[Service Line],"Hospice",Table5[Cost Subcategory],"WAGES-PTA",Table5[Month],"NOVEMBER")</f>
        <v>0</v>
      </c>
      <c r="M17" s="39">
        <f>SUMIFS(Table5[Expense],Table5[Service Line],"Hospice",Table5[Cost Subcategory],"WAGES-PTA",Table5[Month],"DECEMBER")</f>
        <v>0</v>
      </c>
      <c r="N17" s="43">
        <f t="shared" si="0"/>
        <v>0</v>
      </c>
      <c r="P17" s="198"/>
    </row>
    <row r="18" spans="1:16" ht="16.5" thickTop="1" thickBot="1" x14ac:dyDescent="0.35">
      <c r="A18" s="24" t="s">
        <v>26</v>
      </c>
      <c r="B18" s="39">
        <f>SUMIFS(Table5[Expense],Table5[Service Line],"Hospice",Table5[Cost Subcategory],"WAGES-ST",Table5[Month],"JANUARY")</f>
        <v>0</v>
      </c>
      <c r="C18" s="39">
        <f>SUMIFS(Table5[Expense],Table5[Service Line],"Hospice",Table5[Cost Subcategory],"WAGES-ST",Table5[Month],"FEBRUARY")</f>
        <v>0</v>
      </c>
      <c r="D18" s="39">
        <f>SUMIFS(Table5[Expense],Table5[Service Line],"Hospice",Table5[Cost Subcategory],"WAGES-ST",Table5[Month],"MARCH")</f>
        <v>0</v>
      </c>
      <c r="E18" s="39">
        <f>SUMIFS(Table5[Expense],Table5[Service Line],"Hospice",Table5[Cost Subcategory],"WAGES-ST",Table5[Month],"APRIL")</f>
        <v>0</v>
      </c>
      <c r="F18" s="39">
        <f>SUMIFS(Table5[Expense],Table5[Service Line],"Hospice",Table5[Cost Subcategory],"WAGES-ST",Table5[Month],"MAY")</f>
        <v>0</v>
      </c>
      <c r="G18" s="39">
        <f>SUMIFS(Table5[Expense],Table5[Service Line],"Hospice",Table5[Cost Subcategory],"WAGES-ST",Table5[Month],"JUNE")</f>
        <v>0</v>
      </c>
      <c r="H18" s="39">
        <f>SUMIFS(Table5[Expense],Table5[Service Line],"Hospice",Table5[Cost Subcategory],"WAGES-ST",Table5[Month],"JULY")</f>
        <v>0</v>
      </c>
      <c r="I18" s="39">
        <f>SUMIFS(Table5[Expense],Table5[Service Line],"Hospice",Table5[Cost Subcategory],"WAGES-ST",Table5[Month],"AUGUST")</f>
        <v>0</v>
      </c>
      <c r="J18" s="39">
        <f>SUMIFS(Table5[Expense],Table5[Service Line],"Hospice",Table5[Cost Subcategory],"WAGES-ST",Table5[Month],"SEPTEMBER")</f>
        <v>0</v>
      </c>
      <c r="K18" s="39">
        <f>SUMIFS(Table5[Expense],Table5[Service Line],"Hospice",Table5[Cost Subcategory],"WAGES-ST",Table5[Month],"OCTOBER")</f>
        <v>0</v>
      </c>
      <c r="L18" s="39">
        <f>SUMIFS(Table5[Expense],Table5[Service Line],"Hospice",Table5[Cost Subcategory],"WAGES-ST",Table5[Month],"NOVEMBER")</f>
        <v>0</v>
      </c>
      <c r="M18" s="39">
        <f>SUMIFS(Table5[Expense],Table5[Service Line],"Hospice",Table5[Cost Subcategory],"WAGES-ST",Table5[Month],"DECEMBER")</f>
        <v>0</v>
      </c>
      <c r="N18" s="43">
        <f t="shared" si="0"/>
        <v>0</v>
      </c>
      <c r="P18" s="198"/>
    </row>
    <row r="19" spans="1:16" ht="16.5" thickTop="1" thickBot="1" x14ac:dyDescent="0.35">
      <c r="A19" s="24" t="s">
        <v>55</v>
      </c>
      <c r="B19" s="39">
        <f>SUMIFS(Table5[Expense],Table5[Service Line],"Hospice",Table5[Cost Subcategory],"WAGES-NP",Table5[Month],"JANUARY")</f>
        <v>0</v>
      </c>
      <c r="C19" s="39">
        <f>SUMIFS(Table5[Expense],Table5[Service Line],"Hospice",Table5[Cost Subcategory],"WAGES-NP",Table5[Month],"FEBRUARY")</f>
        <v>0</v>
      </c>
      <c r="D19" s="39">
        <f>SUMIFS(Table5[Expense],Table5[Service Line],"Hospice",Table5[Cost Subcategory],"WAGES-NP",Table5[Month],"MARCH")</f>
        <v>0</v>
      </c>
      <c r="E19" s="39">
        <f>SUMIFS(Table5[Expense],Table5[Service Line],"Hospice",Table5[Cost Subcategory],"WAGES-NP",Table5[Month],"APRIL")</f>
        <v>0</v>
      </c>
      <c r="F19" s="39">
        <f>SUMIFS(Table5[Expense],Table5[Service Line],"Hospice",Table5[Cost Subcategory],"WAGES-NP",Table5[Month],"MAY")</f>
        <v>0</v>
      </c>
      <c r="G19" s="39">
        <f>SUMIFS(Table5[Expense],Table5[Service Line],"Hospice",Table5[Cost Subcategory],"WAGES-NP",Table5[Month],"JUNE")</f>
        <v>0</v>
      </c>
      <c r="H19" s="39">
        <f>SUMIFS(Table5[Expense],Table5[Service Line],"Hospice",Table5[Cost Subcategory],"WAGES-NP",Table5[Month],"JULY")</f>
        <v>0</v>
      </c>
      <c r="I19" s="39">
        <f>SUMIFS(Table5[Expense],Table5[Service Line],"Hospice",Table5[Cost Subcategory],"WAGES-NP",Table5[Month],"AUGUST")</f>
        <v>0</v>
      </c>
      <c r="J19" s="39">
        <f>SUMIFS(Table5[Expense],Table5[Service Line],"Hospice",Table5[Cost Subcategory],"WAGES-NP",Table5[Month],"SEPTEMBER")</f>
        <v>0</v>
      </c>
      <c r="K19" s="39">
        <f>SUMIFS(Table5[Expense],Table5[Service Line],"Hospice",Table5[Cost Subcategory],"WAGES-NP",Table5[Month],"OCTOBER")</f>
        <v>0</v>
      </c>
      <c r="L19" s="39">
        <f>SUMIFS(Table5[Expense],Table5[Service Line],"Hospice",Table5[Cost Subcategory],"WAGES-NP",Table5[Month],"NOVEMBER")</f>
        <v>0</v>
      </c>
      <c r="M19" s="39">
        <f>SUMIFS(Table5[Expense],Table5[Service Line],"Hospice",Table5[Cost Subcategory],"WAGES-NP",Table5[Month],"DECEMBER")</f>
        <v>0</v>
      </c>
      <c r="N19" s="43">
        <f>SUM(D19:M19)</f>
        <v>0</v>
      </c>
      <c r="P19" s="198"/>
    </row>
    <row r="20" spans="1:16" ht="16.5" thickTop="1" thickBot="1" x14ac:dyDescent="0.35">
      <c r="A20" s="24" t="s">
        <v>54</v>
      </c>
      <c r="B20" s="39">
        <f>SUMIFS(Table5[Expense],Table5[Service Line],"Hospice",Table5[Cost Subcategory],"WAGES-PHYSICIAN",Table5[Month],"JANUARY")</f>
        <v>0</v>
      </c>
      <c r="C20" s="39">
        <f>SUMIFS(Table5[Expense],Table5[Service Line],"Hospice",Table5[Cost Subcategory],"WAGES-PHYSICIAN",Table5[Month],"FEBRUARY")</f>
        <v>0</v>
      </c>
      <c r="D20" s="39">
        <f>SUMIFS(Table5[Expense],Table5[Service Line],"Hospice",Table5[Cost Subcategory],"WAGES-PHYSICIAN",Table5[Month],"MARCH")</f>
        <v>0</v>
      </c>
      <c r="E20" s="39">
        <f>SUMIFS(Table5[Expense],Table5[Service Line],"Hospice",Table5[Cost Subcategory],"WAGES-PHYSICIAN",Table5[Month],"APRIL")</f>
        <v>0</v>
      </c>
      <c r="F20" s="39">
        <f>SUMIFS(Table5[Expense],Table5[Service Line],"Hospice",Table5[Cost Subcategory],"WAGES-PHYSICIAN",Table5[Month],"MAY")</f>
        <v>0</v>
      </c>
      <c r="G20" s="39">
        <f>SUMIFS(Table5[Expense],Table5[Service Line],"Hospice",Table5[Cost Subcategory],"WAGES-PHYSICIAN",Table5[Month],"JUNE")</f>
        <v>0</v>
      </c>
      <c r="H20" s="39">
        <f>SUMIFS(Table5[Expense],Table5[Service Line],"Hospice",Table5[Cost Subcategory],"WAGES-PHYSICIAN",Table5[Month],"JULY")</f>
        <v>0</v>
      </c>
      <c r="I20" s="39">
        <f>SUMIFS(Table5[Expense],Table5[Service Line],"Hospice",Table5[Cost Subcategory],"WAGES-PHYSICIAN",Table5[Month],"AUGUST")</f>
        <v>0</v>
      </c>
      <c r="J20" s="39">
        <f>SUMIFS(Table5[Expense],Table5[Service Line],"Hospice",Table5[Cost Subcategory],"WAGES-PHYSICIAN",Table5[Month],"SEPTEMBER")</f>
        <v>0</v>
      </c>
      <c r="K20" s="39">
        <f>SUMIFS(Table5[Expense],Table5[Service Line],"Hospice",Table5[Cost Subcategory],"WAGES-PHYSICIAN",Table5[Month],"OCTOBER")</f>
        <v>0</v>
      </c>
      <c r="L20" s="39">
        <f>SUMIFS(Table5[Expense],Table5[Service Line],"Hospice",Table5[Cost Subcategory],"WAGES-PHYSICIAN",Table5[Month],"NOVEMBER")</f>
        <v>0</v>
      </c>
      <c r="M20" s="39">
        <f>SUMIFS(Table5[Expense],Table5[Service Line],"Hospice",Table5[Cost Subcategory],"WAGES-PHYSICIAN",Table5[Month],"DECEMBER")</f>
        <v>0</v>
      </c>
      <c r="N20" s="43">
        <f>SUM(D20:M20)</f>
        <v>0</v>
      </c>
      <c r="P20" s="198"/>
    </row>
    <row r="21" spans="1:16" ht="16.5" thickTop="1" thickBot="1" x14ac:dyDescent="0.35">
      <c r="A21" s="24" t="s">
        <v>44</v>
      </c>
      <c r="B21" s="39">
        <f>SUMIFS(Table5[Expense],Table5[Service Line],"Hospice",Table5[Cost Subcategory],"OTHER DIRECT",Table5[Month],"JANUARY")</f>
        <v>0</v>
      </c>
      <c r="C21" s="39">
        <f>SUMIFS(Table5[Expense],Table5[Service Line],"Hospice",Table5[Cost Subcategory],"OTHER DIRECT",Table5[Month],"FEBRUARY")</f>
        <v>0</v>
      </c>
      <c r="D21" s="39">
        <f>SUMIFS(Table5[Expense],Table5[Service Line],"Hospice",Table5[Cost Subcategory],"OTHER DIRECT",Table5[Month],"MARCH")</f>
        <v>0</v>
      </c>
      <c r="E21" s="39">
        <f>SUMIFS(Table5[Expense],Table5[Service Line],"Hospice",Table5[Cost Subcategory],"OTHER DIRECT",Table5[Month],"APRIL")</f>
        <v>0</v>
      </c>
      <c r="F21" s="39">
        <f>SUMIFS(Table5[Expense],Table5[Service Line],"Hospice",Table5[Cost Subcategory],"OTHER DIRECT",Table5[Month],"MAY")</f>
        <v>0</v>
      </c>
      <c r="G21" s="39">
        <f>SUMIFS(Table5[Expense],Table5[Service Line],"Hospice",Table5[Cost Subcategory],"OTHER DIRECT",Table5[Month],"JUNE")</f>
        <v>0</v>
      </c>
      <c r="H21" s="39">
        <f>SUMIFS(Table5[Expense],Table5[Service Line],"Hospice",Table5[Cost Subcategory],"OTHER DIRECT",Table5[Month],"JULY")</f>
        <v>0</v>
      </c>
      <c r="I21" s="39">
        <f>SUMIFS(Table5[Expense],Table5[Service Line],"Hospice",Table5[Cost Subcategory],"OTHER DIRECT",Table5[Month],"AUGUST")</f>
        <v>0</v>
      </c>
      <c r="J21" s="39">
        <f>SUMIFS(Table5[Expense],Table5[Service Line],"Hospice",Table5[Cost Subcategory],"OTHER DIRECT",Table5[Month],"SEPTEMBER")</f>
        <v>0</v>
      </c>
      <c r="K21" s="39">
        <f>SUMIFS(Table5[Expense],Table5[Service Line],"Hospice",Table5[Cost Subcategory],"OTHER DIRECT",Table5[Month],"OCTOBER")</f>
        <v>0</v>
      </c>
      <c r="L21" s="39">
        <f>SUMIFS(Table5[Expense],Table5[Service Line],"Hospice",Table5[Cost Subcategory],"OTHER DIRECT",Table5[Month],"NOVEMBER")</f>
        <v>0</v>
      </c>
      <c r="M21" s="39">
        <f>SUMIFS(Table5[Expense],Table5[Service Line],"Hospice",Table5[Cost Subcategory],"OTHER DIRECT",Table5[Month],"DECEMBER")</f>
        <v>0</v>
      </c>
      <c r="N21" s="43">
        <f t="shared" si="0"/>
        <v>0</v>
      </c>
      <c r="P21" s="198"/>
    </row>
    <row r="22" spans="1:16" ht="16.5" thickTop="1" thickBot="1" x14ac:dyDescent="0.35">
      <c r="A22" s="23" t="s">
        <v>89</v>
      </c>
      <c r="B22" s="28">
        <f t="shared" ref="B22:C22" si="1">SUM(B5:B21)</f>
        <v>0</v>
      </c>
      <c r="C22" s="28">
        <f t="shared" si="1"/>
        <v>0</v>
      </c>
      <c r="D22" s="28">
        <f t="shared" ref="D22:N22" si="2">SUM(D5:D21)</f>
        <v>0</v>
      </c>
      <c r="E22" s="28">
        <f t="shared" si="2"/>
        <v>0</v>
      </c>
      <c r="F22" s="28">
        <f t="shared" si="2"/>
        <v>0</v>
      </c>
      <c r="G22" s="28">
        <f t="shared" si="2"/>
        <v>0</v>
      </c>
      <c r="H22" s="28">
        <f t="shared" si="2"/>
        <v>0</v>
      </c>
      <c r="I22" s="28">
        <f t="shared" si="2"/>
        <v>0</v>
      </c>
      <c r="J22" s="28">
        <f t="shared" si="2"/>
        <v>0</v>
      </c>
      <c r="K22" s="28">
        <f t="shared" si="2"/>
        <v>0</v>
      </c>
      <c r="L22" s="28">
        <f t="shared" si="2"/>
        <v>0</v>
      </c>
      <c r="M22" s="28">
        <f t="shared" si="2"/>
        <v>0</v>
      </c>
      <c r="N22" s="28">
        <f t="shared" si="2"/>
        <v>0</v>
      </c>
      <c r="P22" s="198"/>
    </row>
    <row r="23" spans="1:16" ht="15.75" thickBot="1" x14ac:dyDescent="0.35">
      <c r="A23" s="25"/>
      <c r="B23" s="26"/>
      <c r="C23" s="26"/>
      <c r="D23" s="26"/>
      <c r="E23" s="26"/>
      <c r="F23" s="26"/>
      <c r="G23" s="26"/>
      <c r="H23" s="26"/>
      <c r="I23" s="26"/>
      <c r="J23" s="26"/>
      <c r="K23" s="26"/>
      <c r="L23" s="26"/>
      <c r="M23" s="26"/>
      <c r="N23" s="26"/>
      <c r="P23" s="199"/>
    </row>
    <row r="24" spans="1:16" ht="16.5" thickTop="1" thickBot="1" x14ac:dyDescent="0.35">
      <c r="A24" s="37" t="s">
        <v>84</v>
      </c>
      <c r="B24" s="38">
        <v>43831</v>
      </c>
      <c r="C24" s="38">
        <v>43862</v>
      </c>
      <c r="D24" s="42">
        <v>43891</v>
      </c>
      <c r="E24" s="42">
        <v>43922</v>
      </c>
      <c r="F24" s="42">
        <v>43952</v>
      </c>
      <c r="G24" s="42">
        <v>43983</v>
      </c>
      <c r="H24" s="42">
        <v>44013</v>
      </c>
      <c r="I24" s="42">
        <v>44044</v>
      </c>
      <c r="J24" s="42">
        <v>44075</v>
      </c>
      <c r="K24" s="42">
        <v>44105</v>
      </c>
      <c r="L24" s="42">
        <v>44136</v>
      </c>
      <c r="M24" s="42">
        <v>44166</v>
      </c>
      <c r="N24" s="42" t="s">
        <v>88</v>
      </c>
      <c r="P24" s="198" t="s">
        <v>7</v>
      </c>
    </row>
    <row r="25" spans="1:16" ht="16.5" thickTop="1" thickBot="1" x14ac:dyDescent="0.35">
      <c r="A25" s="31" t="s">
        <v>9</v>
      </c>
      <c r="B25" s="39">
        <f>SUMIFS(Table5[Expense],Table5[Service Line],"Hospice",Table5[Cost Subcategory],"CONTRACT LABOR/ADMIN",Table5[Month],"JANUARY")</f>
        <v>0</v>
      </c>
      <c r="C25" s="39">
        <f>SUMIFS(Table5[Expense],Table5[Service Line],"Hospice",Table5[Cost Subcategory],"CONTRACT LABOR/ADMIN",Table5[Month],"FEBRUARY")</f>
        <v>0</v>
      </c>
      <c r="D25" s="39">
        <f>SUMIFS(Table5[Expense],Table5[Service Line],"Hospice",Table5[Cost Subcategory],"CONTRACT LABOR/ADMIN",Table5[Month],"MARCH")</f>
        <v>0</v>
      </c>
      <c r="E25" s="39">
        <f>SUMIFS(Table5[Expense],Table5[Service Line],"Hospice",Table5[Cost Subcategory],"CONTRACT LABOR/ADMIN",Table5[Month],"APRIL")</f>
        <v>0</v>
      </c>
      <c r="F25" s="39">
        <f>SUMIFS(Table5[Expense],Table5[Service Line],"Hospice",Table5[Cost Subcategory],"CONTRACT LABOR/ADMIN",Table5[Month],"MAY")</f>
        <v>0</v>
      </c>
      <c r="G25" s="39">
        <f>SUMIFS(Table5[Expense],Table5[Service Line],"Hospice",Table5[Cost Subcategory],"CONTRACT LABOR/ADMIN",Table5[Month],"JUNE")</f>
        <v>0</v>
      </c>
      <c r="H25" s="39">
        <f>SUMIFS(Table5[Expense],Table5[Service Line],"Hospice",Table5[Cost Subcategory],"CONTRACT LABOR/ADMIN",Table5[Month],"JULY")</f>
        <v>0</v>
      </c>
      <c r="I25" s="39">
        <f>SUMIFS(Table5[Expense],Table5[Service Line],"Hospice",Table5[Cost Subcategory],"CONTRACT LABOR/ADMIN",Table5[Month],"AUGUST")</f>
        <v>0</v>
      </c>
      <c r="J25" s="39">
        <f>SUMIFS(Table5[Expense],Table5[Service Line],"Hospice",Table5[Cost Subcategory],"CONTRACT LABOR/ADMIN",Table5[Month],"SEPTEMBER")</f>
        <v>0</v>
      </c>
      <c r="K25" s="39">
        <f>SUMIFS(Table5[Expense],Table5[Service Line],"Hospice",Table5[Cost Subcategory],"CONTRACT LABOR/ADMIN",Table5[Month],"OCTOBER")</f>
        <v>0</v>
      </c>
      <c r="L25" s="39">
        <f>SUMIFS(Table5[Expense],Table5[Service Line],"Hospice",Table5[Cost Subcategory],"CONTRACT LABOR/ADMIN",Table5[Month],"NOVEMBER")</f>
        <v>0</v>
      </c>
      <c r="M25" s="39">
        <f>SUMIFS(Table5[Expense],Table5[Service Line],"Hospice",Table5[Cost Subcategory],"CONTRACT LABOR/ADMIN",Table5[Month],"DECEMBER")</f>
        <v>0</v>
      </c>
      <c r="N25" s="43">
        <f t="shared" ref="N25:N35" si="3">SUM(D25:M25)</f>
        <v>0</v>
      </c>
      <c r="P25" s="198"/>
    </row>
    <row r="26" spans="1:16" ht="16.5" thickTop="1" thickBot="1" x14ac:dyDescent="0.35">
      <c r="A26" s="31" t="s">
        <v>8</v>
      </c>
      <c r="B26" s="39">
        <f>SUMIFS(Table5[Expense],Table5[Service Line],"Hospice",Table5[Cost Subcategory],"WAGES-ADMIN",Table5[Month],"JANUARY")</f>
        <v>0</v>
      </c>
      <c r="C26" s="39">
        <f>SUMIFS(Table5[Expense],Table5[Service Line],"Hospice",Table5[Cost Subcategory],"WAGES-ADMIN",Table5[Month],"FEBRUARY")</f>
        <v>0</v>
      </c>
      <c r="D26" s="39">
        <f>SUMIFS(Table5[Expense],Table5[Service Line],"Hospice",Table5[Cost Subcategory],"WAGES-ADMIN",Table5[Month],"MARCH")</f>
        <v>0</v>
      </c>
      <c r="E26" s="39">
        <f>SUMIFS(Table5[Expense],Table5[Service Line],"Hospice",Table5[Cost Subcategory],"WAGES-ADMIN",Table5[Month],"APRIL")</f>
        <v>0</v>
      </c>
      <c r="F26" s="39">
        <f>SUMIFS(Table5[Expense],Table5[Service Line],"Hospice",Table5[Cost Subcategory],"WAGES-ADMIN",Table5[Month],"MAY")</f>
        <v>0</v>
      </c>
      <c r="G26" s="39">
        <f>SUMIFS(Table5[Expense],Table5[Service Line],"Hospice",Table5[Cost Subcategory],"WAGES-ADMIN",Table5[Month],"JUNE")</f>
        <v>0</v>
      </c>
      <c r="H26" s="39">
        <f>SUMIFS(Table5[Expense],Table5[Service Line],"Hospice",Table5[Cost Subcategory],"WAGES-ADMIN",Table5[Month],"JULY")</f>
        <v>0</v>
      </c>
      <c r="I26" s="39">
        <f>SUMIFS(Table5[Expense],Table5[Service Line],"Hospice",Table5[Cost Subcategory],"WAGES-ADMIN",Table5[Month],"AUGUST")</f>
        <v>0</v>
      </c>
      <c r="J26" s="39">
        <f>SUMIFS(Table5[Expense],Table5[Service Line],"Hospice",Table5[Cost Subcategory],"WAGES-ADMIN",Table5[Month],"SEPTEMBER")</f>
        <v>0</v>
      </c>
      <c r="K26" s="39">
        <f>SUMIFS(Table5[Expense],Table5[Service Line],"Hospice",Table5[Cost Subcategory],"WAGES-ADMIN",Table5[Month],"OCTOBER")</f>
        <v>0</v>
      </c>
      <c r="L26" s="39">
        <f>SUMIFS(Table5[Expense],Table5[Service Line],"Hospice",Table5[Cost Subcategory],"WAGES-ADMIN",Table5[Month],"NOVEMBER")</f>
        <v>0</v>
      </c>
      <c r="M26" s="39">
        <f>SUMIFS(Table5[Expense],Table5[Service Line],"Hospice",Table5[Cost Subcategory],"WAGES-ADMIN",Table5[Month],"DECEMBER")</f>
        <v>0</v>
      </c>
      <c r="N26" s="43">
        <f t="shared" si="3"/>
        <v>0</v>
      </c>
      <c r="P26" s="198"/>
    </row>
    <row r="27" spans="1:16" ht="16.5" thickTop="1" thickBot="1" x14ac:dyDescent="0.35">
      <c r="A27" s="31" t="s">
        <v>432</v>
      </c>
      <c r="B27" s="39">
        <f>SUMIFS(Table5[Expense],Table5[Service Line],"Hospice",Table5[Cost Subcategory],"WAGES-BEREAVEMENT",Table5[Month],"JANUARY")</f>
        <v>0</v>
      </c>
      <c r="C27" s="39">
        <f>SUMIFS(Table5[Expense],Table5[Service Line],"Hospice",Table5[Cost Subcategory],"WAGES-BEREAVEMENT",Table5[Month],"FEBRUARY")</f>
        <v>0</v>
      </c>
      <c r="D27" s="39">
        <f>SUMIFS(Table5[Expense],Table5[Service Line],"Hospice",Table5[Cost Subcategory],"WAGES-BEREAVEMENT",Table5[Month],"MARCH")</f>
        <v>0</v>
      </c>
      <c r="E27" s="39">
        <f>SUMIFS(Table5[Expense],Table5[Service Line],"Hospice",Table5[Cost Subcategory],"WAGES-BEREAVEMENT",Table5[Month],"APRIL")</f>
        <v>0</v>
      </c>
      <c r="F27" s="39">
        <f>SUMIFS(Table5[Expense],Table5[Service Line],"Hospice",Table5[Cost Subcategory],"WAGES-BEREAVEMENT",Table5[Month],"MAY")</f>
        <v>0</v>
      </c>
      <c r="G27" s="39">
        <f>SUMIFS(Table5[Expense],Table5[Service Line],"Hospice",Table5[Cost Subcategory],"WAGES-BEREAVEMENT",Table5[Month],"JUNE")</f>
        <v>0</v>
      </c>
      <c r="H27" s="39">
        <f>SUMIFS(Table5[Expense],Table5[Service Line],"Hospice",Table5[Cost Subcategory],"WAGES-BEREAVEMENT",Table5[Month],"JULY")</f>
        <v>0</v>
      </c>
      <c r="I27" s="39">
        <f>SUMIFS(Table5[Expense],Table5[Service Line],"Hospice",Table5[Cost Subcategory],"WAGES-BEREAVEMENT",Table5[Month],"AUGUST")</f>
        <v>0</v>
      </c>
      <c r="J27" s="39">
        <f>SUMIFS(Table5[Expense],Table5[Service Line],"Hospice",Table5[Cost Subcategory],"WAGES-BEREAVEMENT",Table5[Month],"SEPTEMBER")</f>
        <v>0</v>
      </c>
      <c r="K27" s="39">
        <f>SUMIFS(Table5[Expense],Table5[Service Line],"Hospice",Table5[Cost Subcategory],"WAGES-BEREAVEMENT",Table5[Month],"OCTOBER")</f>
        <v>0</v>
      </c>
      <c r="L27" s="39">
        <f>SUMIFS(Table5[Expense],Table5[Service Line],"Hospice",Table5[Cost Subcategory],"WAGES-BEREAVEMENT",Table5[Month],"NOVEMBER")</f>
        <v>0</v>
      </c>
      <c r="M27" s="39">
        <f>SUMIFS(Table5[Expense],Table5[Service Line],"Hospice",Table5[Cost Subcategory],"WAGES-BEREAVEMENT",Table5[Month],"DECEMBER")</f>
        <v>0</v>
      </c>
      <c r="N27" s="43">
        <f>SUM(D27:M27)</f>
        <v>0</v>
      </c>
      <c r="P27" s="198"/>
    </row>
    <row r="28" spans="1:16" ht="16.5" thickTop="1" thickBot="1" x14ac:dyDescent="0.35">
      <c r="A28" s="31" t="s">
        <v>326</v>
      </c>
      <c r="B28" s="39">
        <f>SUMIFS(Table5[Expense],Table5[Service Line],"Hospice",Table5[Cost Subcategory],"WAGES-CLINICAL SUPPORT &amp; COORDINATION",Table5[Month],"JANUARY")</f>
        <v>0</v>
      </c>
      <c r="C28" s="39">
        <f>SUMIFS(Table5[Expense],Table5[Service Line],"Hospice",Table5[Cost Subcategory],"WAGES-CLINICAL SUPPORT &amp; COORDINATION",Table5[Month],"FEBRUARY")</f>
        <v>0</v>
      </c>
      <c r="D28" s="39">
        <f>SUMIFS(Table5[Expense],Table5[Service Line],"Hospice",Table5[Cost Subcategory],"WAGES-CLINICAL SUPPORT &amp; COORDINATION",Table5[Month],"MARCH")</f>
        <v>0</v>
      </c>
      <c r="E28" s="39">
        <f>SUMIFS(Table5[Expense],Table5[Service Line],"Hospice",Table5[Cost Subcategory],"WAGES-CLINICAL SUPPORT &amp; COORDINATION",Table5[Month],"APRIL")</f>
        <v>0</v>
      </c>
      <c r="F28" s="39">
        <f>SUMIFS(Table5[Expense],Table5[Service Line],"Hospice",Table5[Cost Subcategory],"WAGES-CLINICAL SUPPORT &amp; COORDINATION",Table5[Month],"MAY")</f>
        <v>0</v>
      </c>
      <c r="G28" s="39">
        <f>SUMIFS(Table5[Expense],Table5[Service Line],"Hospice",Table5[Cost Subcategory],"WAGES-CLINICAL SUPPORT &amp; COORDINATION",Table5[Month],"JUNE")</f>
        <v>0</v>
      </c>
      <c r="H28" s="39">
        <f>SUMIFS(Table5[Expense],Table5[Service Line],"Hospice",Table5[Cost Subcategory],"WAGES-CLINICAL SUPPORT &amp; COORDINATION",Table5[Month],"JULY")</f>
        <v>0</v>
      </c>
      <c r="I28" s="39">
        <f>SUMIFS(Table5[Expense],Table5[Service Line],"Hospice",Table5[Cost Subcategory],"WAGES-CLINICAL SUPPORT &amp; COORDINATION",Table5[Month],"AUGUST")</f>
        <v>0</v>
      </c>
      <c r="J28" s="39">
        <f>SUMIFS(Table5[Expense],Table5[Service Line],"Hospice",Table5[Cost Subcategory],"WAGES-CLINICAL SUPPORT &amp; COORDINATION",Table5[Month],"SEPTEMBER")</f>
        <v>0</v>
      </c>
      <c r="K28" s="39">
        <f>SUMIFS(Table5[Expense],Table5[Service Line],"Hospice",Table5[Cost Subcategory],"WAGES-CLINICAL SUPPORT &amp; COORDINATION",Table5[Month],"OCTOBER")</f>
        <v>0</v>
      </c>
      <c r="L28" s="39">
        <f>SUMIFS(Table5[Expense],Table5[Service Line],"Hospice",Table5[Cost Subcategory],"WAGES-CLINICAL SUPPORT &amp; COORDINATION",Table5[Month],"NOVEMBER")</f>
        <v>0</v>
      </c>
      <c r="M28" s="39">
        <f>SUMIFS(Table5[Expense],Table5[Service Line],"Hospice",Table5[Cost Subcategory],"WAGES-CLINICAL SUPPORT &amp; COORDINATION",Table5[Month],"DECEMBER")</f>
        <v>0</v>
      </c>
      <c r="N28" s="43">
        <f t="shared" si="3"/>
        <v>0</v>
      </c>
      <c r="P28" s="198"/>
    </row>
    <row r="29" spans="1:16" ht="16.5" thickTop="1" thickBot="1" x14ac:dyDescent="0.35">
      <c r="A29" s="31" t="s">
        <v>129</v>
      </c>
      <c r="B29" s="39">
        <f>SUMIFS(Table5[Expense],Table5[Service Line],"Hospice",Table5[Cost Subcategory],"WAGES-CLINICAL MANAGER &amp; DON",Table5[Month],"JANUARY")</f>
        <v>0</v>
      </c>
      <c r="C29" s="39">
        <f>SUMIFS(Table5[Expense],Table5[Service Line],"Hospice",Table5[Cost Subcategory],"WAGES-CLINICAL MANAGER &amp; DON",Table5[Month],"FEBRUARY")</f>
        <v>0</v>
      </c>
      <c r="D29" s="39">
        <f>SUMIFS(Table5[Expense],Table5[Service Line],"Hospice",Table5[Cost Subcategory],"WAGES-CLINICAL MANAGER &amp; DON",Table5[Month],"MARCH")</f>
        <v>0</v>
      </c>
      <c r="E29" s="39">
        <f>SUMIFS(Table5[Expense],Table5[Service Line],"Hospice",Table5[Cost Subcategory],"WAGES-CLINICAL MANAGER &amp; DON",Table5[Month],"APRIL")</f>
        <v>0</v>
      </c>
      <c r="F29" s="39">
        <f>SUMIFS(Table5[Expense],Table5[Service Line],"Hospice",Table5[Cost Subcategory],"WAGES-CLINICAL MANAGER &amp; DON",Table5[Month],"MAY")</f>
        <v>0</v>
      </c>
      <c r="G29" s="39">
        <f>SUMIFS(Table5[Expense],Table5[Service Line],"Hospice",Table5[Cost Subcategory],"WAGES-CLINICAL MANAGER &amp; DON",Table5[Month],"JUNE")</f>
        <v>0</v>
      </c>
      <c r="H29" s="39">
        <f>SUMIFS(Table5[Expense],Table5[Service Line],"Hospice",Table5[Cost Subcategory],"WAGES-CLINICAL MANAGER &amp; DON",Table5[Month],"JULY")</f>
        <v>0</v>
      </c>
      <c r="I29" s="39">
        <f>SUMIFS(Table5[Expense],Table5[Service Line],"Hospice",Table5[Cost Subcategory],"WAGES-CLINICAL MANAGER &amp; DON",Table5[Month],"AUGUST")</f>
        <v>0</v>
      </c>
      <c r="J29" s="39">
        <f>SUMIFS(Table5[Expense],Table5[Service Line],"Hospice",Table5[Cost Subcategory],"WAGES-CLINICAL MANAGER &amp; DON",Table5[Month],"SEPTEMBER")</f>
        <v>0</v>
      </c>
      <c r="K29" s="39">
        <f>SUMIFS(Table5[Expense],Table5[Service Line],"Hospice",Table5[Cost Subcategory],"WAGES-CLINICAL MANAGER &amp; DON",Table5[Month],"OCTOBER")</f>
        <v>0</v>
      </c>
      <c r="L29" s="39">
        <f>SUMIFS(Table5[Expense],Table5[Service Line],"Hospice",Table5[Cost Subcategory],"WAGES-CLINICAL MANAGER &amp; DON",Table5[Month],"NOVEMBER")</f>
        <v>0</v>
      </c>
      <c r="M29" s="39">
        <f>SUMIFS(Table5[Expense],Table5[Service Line],"Hospice",Table5[Cost Subcategory],"WAGES-CLINICAL MANAGER &amp; DON",Table5[Month],"DECEMBER")</f>
        <v>0</v>
      </c>
      <c r="N29" s="43">
        <f t="shared" si="3"/>
        <v>0</v>
      </c>
      <c r="P29" s="198"/>
    </row>
    <row r="30" spans="1:16" ht="16.5" thickTop="1" thickBot="1" x14ac:dyDescent="0.35">
      <c r="A30" s="31" t="s">
        <v>116</v>
      </c>
      <c r="B30" s="39">
        <f>SUMIFS(Table5[Expense],Table5[Service Line],"Hospice",Table5[Cost Subcategory],"MEDICAL DIRECTOR",Table5[Month],"JANUARY")</f>
        <v>0</v>
      </c>
      <c r="C30" s="39">
        <f>SUMIFS(Table5[Expense],Table5[Service Line],"Hospice",Table5[Cost Subcategory],"MEDICAL DIRECTOR",Table5[Month],"FEBRUARY")</f>
        <v>0</v>
      </c>
      <c r="D30" s="39">
        <f>SUMIFS(Table5[Expense],Table5[Service Line],"Hospice",Table5[Cost Subcategory],"MEDICAL DIRECTOR",Table5[Month],"MARCH")</f>
        <v>0</v>
      </c>
      <c r="E30" s="39">
        <f>SUMIFS(Table5[Expense],Table5[Service Line],"Hospice",Table5[Cost Subcategory],"MEDICAL DIRECTOR",Table5[Month],"APRIL")</f>
        <v>0</v>
      </c>
      <c r="F30" s="39">
        <f>SUMIFS(Table5[Expense],Table5[Service Line],"Hospice",Table5[Cost Subcategory],"MEDICAL DIRECTOR",Table5[Month],"MAY")</f>
        <v>0</v>
      </c>
      <c r="G30" s="39">
        <f>SUMIFS(Table5[Expense],Table5[Service Line],"Hospice",Table5[Cost Subcategory],"MEDICAL DIRECTOR",Table5[Month],"JUNE")</f>
        <v>0</v>
      </c>
      <c r="H30" s="39">
        <f>SUMIFS(Table5[Expense],Table5[Service Line],"Hospice",Table5[Cost Subcategory],"MEDICAL DIRECTOR",Table5[Month],"JULY")</f>
        <v>0</v>
      </c>
      <c r="I30" s="39">
        <f>SUMIFS(Table5[Expense],Table5[Service Line],"Hospice",Table5[Cost Subcategory],"MEDICAL DIRECTOR",Table5[Month],"AUGUST")</f>
        <v>0</v>
      </c>
      <c r="J30" s="39">
        <f>SUMIFS(Table5[Expense],Table5[Service Line],"Hospice",Table5[Cost Subcategory],"MEDICAL DIRECTOR",Table5[Month],"SEPTEMBER")</f>
        <v>0</v>
      </c>
      <c r="K30" s="39">
        <f>SUMIFS(Table5[Expense],Table5[Service Line],"Hospice",Table5[Cost Subcategory],"MEDICAL DIRECTOR",Table5[Month],"OCTOBER")</f>
        <v>0</v>
      </c>
      <c r="L30" s="39">
        <f>SUMIFS(Table5[Expense],Table5[Service Line],"Hospice",Table5[Cost Subcategory],"MEDICAL DIRECTOR",Table5[Month],"NOVEMBER")</f>
        <v>0</v>
      </c>
      <c r="M30" s="39">
        <f>SUMIFS(Table5[Expense],Table5[Service Line],"Hospice",Table5[Cost Subcategory],"MEDICAL DIRECTOR",Table5[Month],"DECEMBER")</f>
        <v>0</v>
      </c>
      <c r="N30" s="43">
        <f t="shared" si="3"/>
        <v>0</v>
      </c>
      <c r="P30" s="198"/>
    </row>
    <row r="31" spans="1:16" ht="16.5" thickTop="1" thickBot="1" x14ac:dyDescent="0.35">
      <c r="A31" s="31" t="s">
        <v>10</v>
      </c>
      <c r="B31" s="39">
        <f>SUMIFS(Table5[Expense],Table5[Service Line],"Hospice",Table5[Cost Subcategory],"WAGES-MARKETING",Table5[Month],"JANUARY")</f>
        <v>0</v>
      </c>
      <c r="C31" s="39">
        <f>SUMIFS(Table5[Expense],Table5[Service Line],"Hospice",Table5[Cost Subcategory],"WAGES-MARKETING",Table5[Month],"FEBRUARY")</f>
        <v>0</v>
      </c>
      <c r="D31" s="39">
        <f>SUMIFS(Table5[Expense],Table5[Service Line],"Hospice",Table5[Cost Subcategory],"WAGES-MARKETING",Table5[Month],"MARCH")</f>
        <v>0</v>
      </c>
      <c r="E31" s="39">
        <f>SUMIFS(Table5[Expense],Table5[Service Line],"Hospice",Table5[Cost Subcategory],"WAGES-MARKETING",Table5[Month],"APRIL")</f>
        <v>0</v>
      </c>
      <c r="F31" s="39">
        <f>SUMIFS(Table5[Expense],Table5[Service Line],"Hospice",Table5[Cost Subcategory],"WAGES-MARKETING",Table5[Month],"MAY")</f>
        <v>0</v>
      </c>
      <c r="G31" s="39">
        <f>SUMIFS(Table5[Expense],Table5[Service Line],"Hospice",Table5[Cost Subcategory],"WAGES-MARKETING",Table5[Month],"JUNE")</f>
        <v>0</v>
      </c>
      <c r="H31" s="39">
        <f>SUMIFS(Table5[Expense],Table5[Service Line],"Hospice",Table5[Cost Subcategory],"WAGES-MARKETING",Table5[Month],"JULY")</f>
        <v>0</v>
      </c>
      <c r="I31" s="39">
        <f>SUMIFS(Table5[Expense],Table5[Service Line],"Hospice",Table5[Cost Subcategory],"WAGES-MARKETING",Table5[Month],"AUGUST")</f>
        <v>0</v>
      </c>
      <c r="J31" s="39">
        <f>SUMIFS(Table5[Expense],Table5[Service Line],"Hospice",Table5[Cost Subcategory],"WAGES-MARKETING",Table5[Month],"SEPTEMBER")</f>
        <v>0</v>
      </c>
      <c r="K31" s="39">
        <f>SUMIFS(Table5[Expense],Table5[Service Line],"Hospice",Table5[Cost Subcategory],"WAGES-MARKETING",Table5[Month],"OCTOBER")</f>
        <v>0</v>
      </c>
      <c r="L31" s="39">
        <f>SUMIFS(Table5[Expense],Table5[Service Line],"Hospice",Table5[Cost Subcategory],"WAGES-MARKETING",Table5[Month],"NOVEMBER")</f>
        <v>0</v>
      </c>
      <c r="M31" s="39">
        <f>SUMIFS(Table5[Expense],Table5[Service Line],"Hospice",Table5[Cost Subcategory],"WAGES-MARKETING",Table5[Month],"DECEMBER")</f>
        <v>0</v>
      </c>
      <c r="N31" s="43">
        <f t="shared" si="3"/>
        <v>0</v>
      </c>
      <c r="P31" s="198"/>
    </row>
    <row r="32" spans="1:16" ht="16.5" thickTop="1" thickBot="1" x14ac:dyDescent="0.35">
      <c r="A32" s="31" t="s">
        <v>11</v>
      </c>
      <c r="B32" s="39">
        <f>SUMIFS(Table5[Expense],Table5[Service Line],"Hospice",Table5[Cost Subcategory],"WAGES-MED REC SPEC",Table5[Month],"JANUARY")</f>
        <v>0</v>
      </c>
      <c r="C32" s="39">
        <f>SUMIFS(Table5[Expense],Table5[Service Line],"Hospice",Table5[Cost Subcategory],"WAGES-MED REC SPEC",Table5[Month],"FEBRUARY")</f>
        <v>0</v>
      </c>
      <c r="D32" s="39">
        <f>SUMIFS(Table5[Expense],Table5[Service Line],"Hospice",Table5[Cost Subcategory],"WAGES-MED REC SPEC",Table5[Month],"MARCH")</f>
        <v>0</v>
      </c>
      <c r="E32" s="39">
        <f>SUMIFS(Table5[Expense],Table5[Service Line],"Hospice",Table5[Cost Subcategory],"WAGES-MED REC SPEC",Table5[Month],"APRIL")</f>
        <v>0</v>
      </c>
      <c r="F32" s="39">
        <f>SUMIFS(Table5[Expense],Table5[Service Line],"Hospice",Table5[Cost Subcategory],"WAGES-MED REC SPEC",Table5[Month],"MAY")</f>
        <v>0</v>
      </c>
      <c r="G32" s="39">
        <f>SUMIFS(Table5[Expense],Table5[Service Line],"Hospice",Table5[Cost Subcategory],"WAGES-MED REC SPEC",Table5[Month],"JUNE")</f>
        <v>0</v>
      </c>
      <c r="H32" s="39">
        <f>SUMIFS(Table5[Expense],Table5[Service Line],"Hospice",Table5[Cost Subcategory],"WAGES-MED REC SPEC",Table5[Month],"JULY")</f>
        <v>0</v>
      </c>
      <c r="I32" s="39">
        <f>SUMIFS(Table5[Expense],Table5[Service Line],"Hospice",Table5[Cost Subcategory],"WAGES-MED REC SPEC",Table5[Month],"AUGUST")</f>
        <v>0</v>
      </c>
      <c r="J32" s="39">
        <f>SUMIFS(Table5[Expense],Table5[Service Line],"Hospice",Table5[Cost Subcategory],"WAGES-MED REC SPEC",Table5[Month],"SEPTEMBER")</f>
        <v>0</v>
      </c>
      <c r="K32" s="39">
        <f>SUMIFS(Table5[Expense],Table5[Service Line],"Hospice",Table5[Cost Subcategory],"WAGES-MED REC SPEC",Table5[Month],"OCTOBER")</f>
        <v>0</v>
      </c>
      <c r="L32" s="39">
        <f>SUMIFS(Table5[Expense],Table5[Service Line],"Hospice",Table5[Cost Subcategory],"WAGES-MED REC SPEC",Table5[Month],"NOVEMBER")</f>
        <v>0</v>
      </c>
      <c r="M32" s="39">
        <f>SUMIFS(Table5[Expense],Table5[Service Line],"Hospice",Table5[Cost Subcategory],"WAGES-MED REC SPEC",Table5[Month],"DECEMBER")</f>
        <v>0</v>
      </c>
      <c r="N32" s="43">
        <f t="shared" si="3"/>
        <v>0</v>
      </c>
      <c r="P32" s="198"/>
    </row>
    <row r="33" spans="1:16" ht="16.5" thickTop="1" thickBot="1" x14ac:dyDescent="0.35">
      <c r="A33" s="35" t="s">
        <v>12</v>
      </c>
      <c r="B33" s="39">
        <f>SUMIFS(Table5[Expense],Table5[Service Line],"Hospice",Table5[Cost Subcategory],"WAGES-ON CALL PAY",Table5[Month],"JANUARY")</f>
        <v>0</v>
      </c>
      <c r="C33" s="39">
        <f>SUMIFS(Table5[Expense],Table5[Service Line],"Hospice",Table5[Cost Subcategory],"WAGES-ON CALL PAY",Table5[Month],"FEBRUARY")</f>
        <v>0</v>
      </c>
      <c r="D33" s="39">
        <f>SUMIFS(Table5[Expense],Table5[Service Line],"Hospice",Table5[Cost Subcategory],"WAGES-ON CALL PAY",Table5[Month],"MARCH")</f>
        <v>0</v>
      </c>
      <c r="E33" s="39">
        <f>SUMIFS(Table5[Expense],Table5[Service Line],"Hospice",Table5[Cost Subcategory],"WAGES-ON CALL PAY",Table5[Month],"APRIL")</f>
        <v>0</v>
      </c>
      <c r="F33" s="39">
        <f>SUMIFS(Table5[Expense],Table5[Service Line],"Hospice",Table5[Cost Subcategory],"WAGES-ON CALL PAY",Table5[Month],"MAY")</f>
        <v>0</v>
      </c>
      <c r="G33" s="39">
        <f>SUMIFS(Table5[Expense],Table5[Service Line],"Hospice",Table5[Cost Subcategory],"WAGES-ON CALL PAY",Table5[Month],"JUNE")</f>
        <v>0</v>
      </c>
      <c r="H33" s="39">
        <f>SUMIFS(Table5[Expense],Table5[Service Line],"Hospice",Table5[Cost Subcategory],"WAGES-ON CALL PAY",Table5[Month],"JULY")</f>
        <v>0</v>
      </c>
      <c r="I33" s="39">
        <f>SUMIFS(Table5[Expense],Table5[Service Line],"Hospice",Table5[Cost Subcategory],"WAGES-ON CALL PAY",Table5[Month],"AUGUST")</f>
        <v>0</v>
      </c>
      <c r="J33" s="39">
        <f>SUMIFS(Table5[Expense],Table5[Service Line],"Hospice",Table5[Cost Subcategory],"WAGES-ON CALL PAY",Table5[Month],"SEPTEMBER")</f>
        <v>0</v>
      </c>
      <c r="K33" s="39">
        <f>SUMIFS(Table5[Expense],Table5[Service Line],"Hospice",Table5[Cost Subcategory],"WAGES-ON CALL PAY",Table5[Month],"OCTOBER")</f>
        <v>0</v>
      </c>
      <c r="L33" s="39">
        <f>SUMIFS(Table5[Expense],Table5[Service Line],"Hospice",Table5[Cost Subcategory],"WAGES-ON CALL PAY",Table5[Month],"NOVEMBER")</f>
        <v>0</v>
      </c>
      <c r="M33" s="39">
        <f>SUMIFS(Table5[Expense],Table5[Service Line],"Hospice",Table5[Cost Subcategory],"WAGES-ON CALL PAY",Table5[Month],"DECEMBER")</f>
        <v>0</v>
      </c>
      <c r="N33" s="43">
        <f t="shared" si="3"/>
        <v>0</v>
      </c>
      <c r="P33" s="198"/>
    </row>
    <row r="34" spans="1:16" ht="16.5" thickTop="1" thickBot="1" x14ac:dyDescent="0.35">
      <c r="A34" s="34" t="s">
        <v>50</v>
      </c>
      <c r="B34" s="39">
        <f>SUMIFS(Table5[Expense],Table5[Service Line],"Hospice",Table5[Cost Subcategory],"VOLUNTEER SERVICE COORDINATION",Table5[Month],"JANUARY")</f>
        <v>0</v>
      </c>
      <c r="C34" s="39">
        <f>SUMIFS(Table5[Expense],Table5[Service Line],"Hospice",Table5[Cost Subcategory],"VOLUNTEER SERVICE COORDINATION",Table5[Month],"FEBRUARY")</f>
        <v>0</v>
      </c>
      <c r="D34" s="39">
        <f>SUMIFS(Table5[Expense],Table5[Service Line],"Hospice",Table5[Cost Subcategory],"VOLUNTEER SERVICE COORDINATION",Table5[Month],"MARCH")</f>
        <v>0</v>
      </c>
      <c r="E34" s="39">
        <f>SUMIFS(Table5[Expense],Table5[Service Line],"Hospice",Table5[Cost Subcategory],"VOLUNTEER SERVICE COORDINATION",Table5[Month],"APRIL")</f>
        <v>0</v>
      </c>
      <c r="F34" s="39">
        <f>SUMIFS(Table5[Expense],Table5[Service Line],"Hospice",Table5[Cost Subcategory],"VOLUNTEER SERVICE COORDINATION",Table5[Month],"MAY")</f>
        <v>0</v>
      </c>
      <c r="G34" s="39">
        <f>SUMIFS(Table5[Expense],Table5[Service Line],"Hospice",Table5[Cost Subcategory],"VOLUNTEER SERVICE COORDINATION",Table5[Month],"JUNE")</f>
        <v>0</v>
      </c>
      <c r="H34" s="39">
        <f>SUMIFS(Table5[Expense],Table5[Service Line],"Hospice",Table5[Cost Subcategory],"VOLUNTEER SERVICE COORDINATION",Table5[Month],"JULY")</f>
        <v>0</v>
      </c>
      <c r="I34" s="39">
        <f>SUMIFS(Table5[Expense],Table5[Service Line],"Hospice",Table5[Cost Subcategory],"VOLUNTEER SERVICE COORDINATION",Table5[Month],"AUGUST")</f>
        <v>0</v>
      </c>
      <c r="J34" s="39">
        <f>SUMIFS(Table5[Expense],Table5[Service Line],"Hospice",Table5[Cost Subcategory],"VOLUNTEER SERVICE COORDINATION",Table5[Month],"SEPTEMBER")</f>
        <v>0</v>
      </c>
      <c r="K34" s="39">
        <f>SUMIFS(Table5[Expense],Table5[Service Line],"Hospice",Table5[Cost Subcategory],"VOLUNTEER SERVICE COORDINATION",Table5[Month],"OCTOBER")</f>
        <v>0</v>
      </c>
      <c r="L34" s="39">
        <f>SUMIFS(Table5[Expense],Table5[Service Line],"Hospice",Table5[Cost Subcategory],"VOLUNTEER SERVICE COORDINATION",Table5[Month],"NOVEMBER")</f>
        <v>0</v>
      </c>
      <c r="M34" s="39">
        <f>SUMIFS(Table5[Expense],Table5[Service Line],"Hospice",Table5[Cost Subcategory],"VOLUNTEER SERVICE COORDINATION",Table5[Month],"DECEMBER")</f>
        <v>0</v>
      </c>
      <c r="N34" s="43">
        <f t="shared" si="3"/>
        <v>0</v>
      </c>
      <c r="P34" s="198"/>
    </row>
    <row r="35" spans="1:16" ht="16.5" thickTop="1" thickBot="1" x14ac:dyDescent="0.35">
      <c r="A35" s="33" t="s">
        <v>327</v>
      </c>
      <c r="B35" s="39">
        <f>SUMIFS(Table5[Expense],Table5[Service Line],"Hospice",Table5[Cost Subcategory],"EXECUTIVE WAGES",Table5[Month],"JANUARY")</f>
        <v>0</v>
      </c>
      <c r="C35" s="39">
        <f>SUMIFS(Table5[Expense],Table5[Service Line],"Hospice",Table5[Cost Subcategory],"EXECUTIVE WAGES",Table5[Month],"FEBRUARY")</f>
        <v>0</v>
      </c>
      <c r="D35" s="39">
        <f>SUMIFS(Table5[Expense],Table5[Service Line],"Hospice",Table5[Cost Subcategory],"EXECUTIVE WAGES",Table5[Month],"MARCH")</f>
        <v>0</v>
      </c>
      <c r="E35" s="39">
        <f>SUMIFS(Table5[Expense],Table5[Service Line],"Hospice",Table5[Cost Subcategory],"EXECUTIVE WAGES",Table5[Month],"APRIL")</f>
        <v>0</v>
      </c>
      <c r="F35" s="39">
        <f>SUMIFS(Table5[Expense],Table5[Service Line],"Hospice",Table5[Cost Subcategory],"EXECUTIVE WAGES",Table5[Month],"MAY")</f>
        <v>0</v>
      </c>
      <c r="G35" s="39">
        <f>SUMIFS(Table5[Expense],Table5[Service Line],"Hospice",Table5[Cost Subcategory],"EXECUTIVE WAGES",Table5[Month],"JUNE")</f>
        <v>0</v>
      </c>
      <c r="H35" s="39">
        <f>SUMIFS(Table5[Expense],Table5[Service Line],"Hospice",Table5[Cost Subcategory],"EXECUTIVE WAGES",Table5[Month],"JULY")</f>
        <v>0</v>
      </c>
      <c r="I35" s="39">
        <f>SUMIFS(Table5[Expense],Table5[Service Line],"Hospice",Table5[Cost Subcategory],"EXECUTIVE WAGES",Table5[Month],"AUGUST")</f>
        <v>0</v>
      </c>
      <c r="J35" s="39">
        <f>SUMIFS(Table5[Expense],Table5[Service Line],"Hospice",Table5[Cost Subcategory],"EXECUTIVE WAGES",Table5[Month],"SEPTEMBER")</f>
        <v>0</v>
      </c>
      <c r="K35" s="39">
        <f>SUMIFS(Table5[Expense],Table5[Service Line],"Hospice",Table5[Cost Subcategory],"EXECUTIVE WAGES",Table5[Month],"OCTOBER")</f>
        <v>0</v>
      </c>
      <c r="L35" s="39">
        <f>SUMIFS(Table5[Expense],Table5[Service Line],"Hospice",Table5[Cost Subcategory],"EXECUTIVE WAGES",Table5[Month],"NOVEMBER")</f>
        <v>0</v>
      </c>
      <c r="M35" s="39">
        <f>SUMIFS(Table5[Expense],Table5[Service Line],"Hospice",Table5[Cost Subcategory],"EXECUTIVE WAGES",Table5[Month],"DECEMBER")</f>
        <v>0</v>
      </c>
      <c r="N35" s="43">
        <f t="shared" si="3"/>
        <v>0</v>
      </c>
      <c r="P35" s="198"/>
    </row>
    <row r="36" spans="1:16" ht="16.5" thickTop="1" thickBot="1" x14ac:dyDescent="0.35">
      <c r="A36" s="23" t="s">
        <v>90</v>
      </c>
      <c r="B36" s="28">
        <f t="shared" ref="B36:N36" si="4">SUM(B25:B35)</f>
        <v>0</v>
      </c>
      <c r="C36" s="28">
        <f t="shared" si="4"/>
        <v>0</v>
      </c>
      <c r="D36" s="28">
        <f t="shared" si="4"/>
        <v>0</v>
      </c>
      <c r="E36" s="28">
        <f t="shared" si="4"/>
        <v>0</v>
      </c>
      <c r="F36" s="28">
        <f t="shared" si="4"/>
        <v>0</v>
      </c>
      <c r="G36" s="28">
        <f t="shared" si="4"/>
        <v>0</v>
      </c>
      <c r="H36" s="28">
        <f t="shared" si="4"/>
        <v>0</v>
      </c>
      <c r="I36" s="28">
        <f t="shared" si="4"/>
        <v>0</v>
      </c>
      <c r="J36" s="28">
        <f t="shared" si="4"/>
        <v>0</v>
      </c>
      <c r="K36" s="28">
        <f t="shared" si="4"/>
        <v>0</v>
      </c>
      <c r="L36" s="28">
        <f t="shared" si="4"/>
        <v>0</v>
      </c>
      <c r="M36" s="28">
        <f t="shared" si="4"/>
        <v>0</v>
      </c>
      <c r="N36" s="28">
        <f t="shared" si="4"/>
        <v>0</v>
      </c>
      <c r="P36" s="198"/>
    </row>
    <row r="37" spans="1:16" ht="15.75" thickBot="1" x14ac:dyDescent="0.35">
      <c r="A37" s="27"/>
      <c r="B37" s="26"/>
      <c r="C37" s="26"/>
      <c r="D37" s="26"/>
      <c r="E37" s="26"/>
      <c r="F37" s="26"/>
      <c r="G37" s="26"/>
      <c r="H37" s="26"/>
      <c r="I37" s="26"/>
      <c r="J37" s="26"/>
      <c r="K37" s="26"/>
      <c r="L37" s="26"/>
      <c r="M37" s="26"/>
      <c r="N37" s="26"/>
      <c r="P37" s="199"/>
    </row>
    <row r="38" spans="1:16" ht="16.5" thickTop="1" thickBot="1" x14ac:dyDescent="0.35">
      <c r="A38" s="37" t="s">
        <v>125</v>
      </c>
      <c r="B38" s="38">
        <v>43831</v>
      </c>
      <c r="C38" s="38">
        <v>43862</v>
      </c>
      <c r="D38" s="42">
        <v>43891</v>
      </c>
      <c r="E38" s="42">
        <v>43922</v>
      </c>
      <c r="F38" s="42">
        <v>43952</v>
      </c>
      <c r="G38" s="42">
        <v>43983</v>
      </c>
      <c r="H38" s="42">
        <v>44013</v>
      </c>
      <c r="I38" s="42">
        <v>44044</v>
      </c>
      <c r="J38" s="42">
        <v>44075</v>
      </c>
      <c r="K38" s="42">
        <v>44105</v>
      </c>
      <c r="L38" s="42">
        <v>44136</v>
      </c>
      <c r="M38" s="42">
        <v>44166</v>
      </c>
      <c r="N38" s="42" t="s">
        <v>88</v>
      </c>
      <c r="P38" s="198" t="s">
        <v>7</v>
      </c>
    </row>
    <row r="39" spans="1:16" ht="16.5" thickTop="1" thickBot="1" x14ac:dyDescent="0.35">
      <c r="A39" s="31" t="s">
        <v>13</v>
      </c>
      <c r="B39" s="39">
        <f>SUMIFS(Table5[Expense],Table5[Service Line],"Hospice",Table5[Cost Subcategory],"ADV-EMPLOYEE",Table5[Month],"JANUARY")</f>
        <v>0</v>
      </c>
      <c r="C39" s="39">
        <f>SUMIFS(Table5[Expense],Table5[Service Line],"Hospice",Table5[Cost Subcategory],"ADV-EMPLOYEE",Table5[Month],"FEBRUARY")</f>
        <v>0</v>
      </c>
      <c r="D39" s="39">
        <f>SUMIFS(Table5[Expense],Table5[Service Line],"Hospice",Table5[Cost Subcategory],"ADV-EMPLOYEE",Table5[Month],"MARCH")</f>
        <v>0</v>
      </c>
      <c r="E39" s="39">
        <f>SUMIFS(Table5[Expense],Table5[Service Line],"Hospice",Table5[Cost Subcategory],"ADV-EMPLOYEE",Table5[Month],"APRIL")</f>
        <v>0</v>
      </c>
      <c r="F39" s="39">
        <f>SUMIFS(Table5[Expense],Table5[Service Line],"Hospice",Table5[Cost Subcategory],"ADV-EMPLOYEE",Table5[Month],"MAY")</f>
        <v>0</v>
      </c>
      <c r="G39" s="39">
        <f>SUMIFS(Table5[Expense],Table5[Service Line],"Hospice",Table5[Cost Subcategory],"ADV-EMPLOYEE",Table5[Month],"JUNE")</f>
        <v>0</v>
      </c>
      <c r="H39" s="39">
        <f>SUMIFS(Table5[Expense],Table5[Service Line],"Hospice",Table5[Cost Subcategory],"ADV-EMPLOYEE",Table5[Month],"JULY")</f>
        <v>0</v>
      </c>
      <c r="I39" s="39">
        <f>SUMIFS(Table5[Expense],Table5[Service Line],"Hospice",Table5[Cost Subcategory],"ADV-EMPLOYEE",Table5[Month],"AUGUST")</f>
        <v>0</v>
      </c>
      <c r="J39" s="39">
        <f>SUMIFS(Table5[Expense],Table5[Service Line],"Hospice",Table5[Cost Subcategory],"ADV-EMPLOYEE",Table5[Month],"SEPTEMBER")</f>
        <v>0</v>
      </c>
      <c r="K39" s="39">
        <f>SUMIFS(Table5[Expense],Table5[Service Line],"Hospice",Table5[Cost Subcategory],"ADV-EMPLOYEE",Table5[Month],"OCTOBER")</f>
        <v>0</v>
      </c>
      <c r="L39" s="39">
        <f>SUMIFS(Table5[Expense],Table5[Service Line],"Hospice",Table5[Cost Subcategory],"ADV-EMPLOYEE",Table5[Month],"NOVEMBER")</f>
        <v>0</v>
      </c>
      <c r="M39" s="39">
        <f>SUMIFS(Table5[Expense],Table5[Service Line],"Hospice",Table5[Cost Subcategory],"ADV-EMPLOYEE",Table5[Month],"DECEMBER")</f>
        <v>0</v>
      </c>
      <c r="N39" s="43">
        <f t="shared" ref="N39:N88" si="5">SUM(D39:M39)</f>
        <v>0</v>
      </c>
      <c r="P39" s="198"/>
    </row>
    <row r="40" spans="1:16" ht="16.5" thickTop="1" thickBot="1" x14ac:dyDescent="0.35">
      <c r="A40" s="31" t="s">
        <v>14</v>
      </c>
      <c r="B40" s="39">
        <f>SUMIFS(Table5[Expense],Table5[Service Line],"Hospice",Table5[Cost Subcategory],"ADV-MARKETING",Table5[Month],"JANUARY")</f>
        <v>0</v>
      </c>
      <c r="C40" s="39">
        <f>SUMIFS(Table5[Expense],Table5[Service Line],"Hospice",Table5[Cost Subcategory],"ADV-MARKETING",Table5[Month],"FEBRUARY")</f>
        <v>0</v>
      </c>
      <c r="D40" s="39">
        <f>SUMIFS(Table5[Expense],Table5[Service Line],"Hospice",Table5[Cost Subcategory],"ADV-MARKETING",Table5[Month],"MARCH")</f>
        <v>0</v>
      </c>
      <c r="E40" s="39">
        <f>SUMIFS(Table5[Expense],Table5[Service Line],"Hospice",Table5[Cost Subcategory],"ADV-MARKETING",Table5[Month],"APRIL")</f>
        <v>0</v>
      </c>
      <c r="F40" s="39">
        <f>SUMIFS(Table5[Expense],Table5[Service Line],"Hospice",Table5[Cost Subcategory],"ADV-MARKETING",Table5[Month],"MAY")</f>
        <v>0</v>
      </c>
      <c r="G40" s="39">
        <f>SUMIFS(Table5[Expense],Table5[Service Line],"Hospice",Table5[Cost Subcategory],"ADV-MARKETING",Table5[Month],"JUNE")</f>
        <v>0</v>
      </c>
      <c r="H40" s="39">
        <f>SUMIFS(Table5[Expense],Table5[Service Line],"Hospice",Table5[Cost Subcategory],"ADV-MARKETING",Table5[Month],"JULY")</f>
        <v>0</v>
      </c>
      <c r="I40" s="39">
        <f>SUMIFS(Table5[Expense],Table5[Service Line],"Hospice",Table5[Cost Subcategory],"ADV-MARKETING",Table5[Month],"AUGUST")</f>
        <v>0</v>
      </c>
      <c r="J40" s="39">
        <f>SUMIFS(Table5[Expense],Table5[Service Line],"Hospice",Table5[Cost Subcategory],"ADV-MARKETING",Table5[Month],"SEPTEMBER")</f>
        <v>0</v>
      </c>
      <c r="K40" s="39">
        <f>SUMIFS(Table5[Expense],Table5[Service Line],"Hospice",Table5[Cost Subcategory],"ADV-MARKETING",Table5[Month],"OCTOBER")</f>
        <v>0</v>
      </c>
      <c r="L40" s="39">
        <f>SUMIFS(Table5[Expense],Table5[Service Line],"Hospice",Table5[Cost Subcategory],"ADV-MARKETING",Table5[Month],"NOVEMBER")</f>
        <v>0</v>
      </c>
      <c r="M40" s="39">
        <f>SUMIFS(Table5[Expense],Table5[Service Line],"Hospice",Table5[Cost Subcategory],"ADV-MARKETING",Table5[Month],"DECEMBER")</f>
        <v>0</v>
      </c>
      <c r="N40" s="43">
        <f t="shared" si="5"/>
        <v>0</v>
      </c>
      <c r="P40" s="198"/>
    </row>
    <row r="41" spans="1:16" ht="16.5" thickTop="1" thickBot="1" x14ac:dyDescent="0.35">
      <c r="A41" s="31" t="s">
        <v>15</v>
      </c>
      <c r="B41" s="39">
        <f>SUMIFS(Table5[Expense],Table5[Service Line],"Hospice",Table5[Cost Subcategory],"AMORTIZATION EXPENSE",Table5[Month],"JANUARY")</f>
        <v>0</v>
      </c>
      <c r="C41" s="39">
        <f>SUMIFS(Table5[Expense],Table5[Service Line],"Hospice",Table5[Cost Subcategory],"AMORTIZATION EXPENSE",Table5[Month],"FEBRUARY")</f>
        <v>0</v>
      </c>
      <c r="D41" s="39">
        <f>SUMIFS(Table5[Expense],Table5[Service Line],"Hospice",Table5[Cost Subcategory],"AMORTIZATION EXPENSE",Table5[Month],"MARCH")</f>
        <v>0</v>
      </c>
      <c r="E41" s="39">
        <f>SUMIFS(Table5[Expense],Table5[Service Line],"Hospice",Table5[Cost Subcategory],"AMORTIZATION EXPENSE",Table5[Month],"APRIL")</f>
        <v>0</v>
      </c>
      <c r="F41" s="39">
        <f>SUMIFS(Table5[Expense],Table5[Service Line],"Hospice",Table5[Cost Subcategory],"AMORTIZATION EXPENSE",Table5[Month],"MAY")</f>
        <v>0</v>
      </c>
      <c r="G41" s="39">
        <f>SUMIFS(Table5[Expense],Table5[Service Line],"Hospice",Table5[Cost Subcategory],"AMORTIZATION EXPENSE",Table5[Month],"JUNE")</f>
        <v>0</v>
      </c>
      <c r="H41" s="39">
        <f>SUMIFS(Table5[Expense],Table5[Service Line],"Hospice",Table5[Cost Subcategory],"AMORTIZATION EXPENSE",Table5[Month],"JULY")</f>
        <v>0</v>
      </c>
      <c r="I41" s="39">
        <f>SUMIFS(Table5[Expense],Table5[Service Line],"Hospice",Table5[Cost Subcategory],"AMORTIZATION EXPENSE",Table5[Month],"AUGUST")</f>
        <v>0</v>
      </c>
      <c r="J41" s="39">
        <f>SUMIFS(Table5[Expense],Table5[Service Line],"Hospice",Table5[Cost Subcategory],"AMORTIZATION EXPENSE",Table5[Month],"SEPTEMBER")</f>
        <v>0</v>
      </c>
      <c r="K41" s="39">
        <f>SUMIFS(Table5[Expense],Table5[Service Line],"Hospice",Table5[Cost Subcategory],"AMORTIZATION EXPENSE",Table5[Month],"OCTOBER")</f>
        <v>0</v>
      </c>
      <c r="L41" s="39">
        <f>SUMIFS(Table5[Expense],Table5[Service Line],"Hospice",Table5[Cost Subcategory],"AMORTIZATION EXPENSE",Table5[Month],"NOVEMBER")</f>
        <v>0</v>
      </c>
      <c r="M41" s="39">
        <f>SUMIFS(Table5[Expense],Table5[Service Line],"Hospice",Table5[Cost Subcategory],"AMORTIZATION EXPENSE",Table5[Month],"DECEMBER")</f>
        <v>0</v>
      </c>
      <c r="N41" s="43">
        <f t="shared" si="5"/>
        <v>0</v>
      </c>
      <c r="P41" s="198"/>
    </row>
    <row r="42" spans="1:16" ht="16.5" thickTop="1" thickBot="1" x14ac:dyDescent="0.35">
      <c r="A42" s="31" t="s">
        <v>16</v>
      </c>
      <c r="B42" s="39">
        <f>SUMIFS(Table5[Expense],Table5[Service Line],"Hospice",Table5[Cost Subcategory],"AUTO/TRUCK EXPENSE",Table5[Month],"JANUARY")</f>
        <v>0</v>
      </c>
      <c r="C42" s="39">
        <f>SUMIFS(Table5[Expense],Table5[Service Line],"Hospice",Table5[Cost Subcategory],"AUTO/TRUCK EXPENSE",Table5[Month],"FEBRUARY")</f>
        <v>0</v>
      </c>
      <c r="D42" s="39">
        <f>SUMIFS(Table5[Expense],Table5[Service Line],"Hospice",Table5[Cost Subcategory],"AUTO/TRUCK EXPENSE",Table5[Month],"MARCH")</f>
        <v>0</v>
      </c>
      <c r="E42" s="39">
        <f>SUMIFS(Table5[Expense],Table5[Service Line],"Hospice",Table5[Cost Subcategory],"AUTO/TRUCK EXPENSE",Table5[Month],"APRIL")</f>
        <v>0</v>
      </c>
      <c r="F42" s="39">
        <f>SUMIFS(Table5[Expense],Table5[Service Line],"Hospice",Table5[Cost Subcategory],"AUTO/TRUCK EXPENSE",Table5[Month],"MAY")</f>
        <v>0</v>
      </c>
      <c r="G42" s="39">
        <f>SUMIFS(Table5[Expense],Table5[Service Line],"Hospice",Table5[Cost Subcategory],"AUTO/TRUCK EXPENSE",Table5[Month],"JUNE")</f>
        <v>0</v>
      </c>
      <c r="H42" s="39">
        <f>SUMIFS(Table5[Expense],Table5[Service Line],"Hospice",Table5[Cost Subcategory],"AUTO/TRUCK EXPENSE",Table5[Month],"JULY")</f>
        <v>0</v>
      </c>
      <c r="I42" s="39">
        <f>SUMIFS(Table5[Expense],Table5[Service Line],"Hospice",Table5[Cost Subcategory],"AUTO/TRUCK EXPENSE",Table5[Month],"AUGUST")</f>
        <v>0</v>
      </c>
      <c r="J42" s="39">
        <f>SUMIFS(Table5[Expense],Table5[Service Line],"Hospice",Table5[Cost Subcategory],"AUTO/TRUCK EXPENSE",Table5[Month],"SEPTEMBER")</f>
        <v>0</v>
      </c>
      <c r="K42" s="39">
        <f>SUMIFS(Table5[Expense],Table5[Service Line],"Hospice",Table5[Cost Subcategory],"AUTO/TRUCK EXPENSE",Table5[Month],"OCTOBER")</f>
        <v>0</v>
      </c>
      <c r="L42" s="39">
        <f>SUMIFS(Table5[Expense],Table5[Service Line],"Hospice",Table5[Cost Subcategory],"AUTO/TRUCK EXPENSE",Table5[Month],"NOVEMBER")</f>
        <v>0</v>
      </c>
      <c r="M42" s="39">
        <f>SUMIFS(Table5[Expense],Table5[Service Line],"Hospice",Table5[Cost Subcategory],"AUTO/TRUCK EXPENSE",Table5[Month],"DECEMBER")</f>
        <v>0</v>
      </c>
      <c r="N42" s="43">
        <f t="shared" si="5"/>
        <v>0</v>
      </c>
      <c r="P42" s="198"/>
    </row>
    <row r="43" spans="1:16" ht="16.5" thickTop="1" thickBot="1" x14ac:dyDescent="0.35">
      <c r="A43" s="31" t="s">
        <v>97</v>
      </c>
      <c r="B43" s="39">
        <f>SUMIFS(Table5[Expense],Table5[Service Line],"Hospice",Table5[Cost Subcategory],"BANK CHARGES",Table5[Month],"JANUARY")</f>
        <v>0</v>
      </c>
      <c r="C43" s="39">
        <f>SUMIFS(Table5[Expense],Table5[Service Line],"Hospice",Table5[Cost Subcategory],"BANK CHARGES",Table5[Month],"FEBRUARY")</f>
        <v>0</v>
      </c>
      <c r="D43" s="39">
        <f>SUMIFS(Table5[Expense],Table5[Service Line],"Hospice",Table5[Cost Subcategory],"BANK CHARGES",Table5[Month],"MARCH")</f>
        <v>0</v>
      </c>
      <c r="E43" s="39">
        <f>SUMIFS(Table5[Expense],Table5[Service Line],"Hospice",Table5[Cost Subcategory],"BANK CHARGES",Table5[Month],"APRIL")</f>
        <v>0</v>
      </c>
      <c r="F43" s="39">
        <f>SUMIFS(Table5[Expense],Table5[Service Line],"Hospice",Table5[Cost Subcategory],"BANK CHARGES",Table5[Month],"MAY")</f>
        <v>0</v>
      </c>
      <c r="G43" s="39">
        <f>SUMIFS(Table5[Expense],Table5[Service Line],"Hospice",Table5[Cost Subcategory],"BANK CHARGES",Table5[Month],"JUNE")</f>
        <v>0</v>
      </c>
      <c r="H43" s="39">
        <f>SUMIFS(Table5[Expense],Table5[Service Line],"Hospice",Table5[Cost Subcategory],"BANK CHARGES",Table5[Month],"JULY")</f>
        <v>0</v>
      </c>
      <c r="I43" s="39">
        <f>SUMIFS(Table5[Expense],Table5[Service Line],"Hospice",Table5[Cost Subcategory],"BANK CHARGES",Table5[Month],"AUGUST")</f>
        <v>0</v>
      </c>
      <c r="J43" s="39">
        <f>SUMIFS(Table5[Expense],Table5[Service Line],"Hospice",Table5[Cost Subcategory],"BANK CHARGES",Table5[Month],"SEPTEMBER")</f>
        <v>0</v>
      </c>
      <c r="K43" s="39">
        <f>SUMIFS(Table5[Expense],Table5[Service Line],"Hospice",Table5[Cost Subcategory],"BANK CHARGES",Table5[Month],"OCTOBER")</f>
        <v>0</v>
      </c>
      <c r="L43" s="39">
        <f>SUMIFS(Table5[Expense],Table5[Service Line],"Hospice",Table5[Cost Subcategory],"BANK CHARGES",Table5[Month],"NOVEMBER")</f>
        <v>0</v>
      </c>
      <c r="M43" s="39">
        <f>SUMIFS(Table5[Expense],Table5[Service Line],"Hospice",Table5[Cost Subcategory],"BANK CHARGES",Table5[Month],"DECEMBER")</f>
        <v>0</v>
      </c>
      <c r="N43" s="43">
        <f t="shared" ref="N43" si="6">SUM(D43:M43)</f>
        <v>0</v>
      </c>
      <c r="P43" s="198"/>
    </row>
    <row r="44" spans="1:16" ht="16.5" thickTop="1" thickBot="1" x14ac:dyDescent="0.35">
      <c r="A44" s="31" t="s">
        <v>51</v>
      </c>
      <c r="B44" s="39">
        <f>SUMIFS(Table5[Expense],Table5[Service Line],"Hospice",Table5[Cost Subcategory],"COMPUTER HARDWARE",Table5[Month],"JANUARY")</f>
        <v>0</v>
      </c>
      <c r="C44" s="39">
        <f>SUMIFS(Table5[Expense],Table5[Service Line],"Hospice",Table5[Cost Subcategory],"COMPUTER HARDWARE",Table5[Month],"FEBRUARY")</f>
        <v>0</v>
      </c>
      <c r="D44" s="39">
        <f>SUMIFS(Table5[Expense],Table5[Service Line],"Hospice",Table5[Cost Subcategory],"COMPUTER HARDWARE",Table5[Month],"MARCH")</f>
        <v>0</v>
      </c>
      <c r="E44" s="39">
        <f>SUMIFS(Table5[Expense],Table5[Service Line],"Hospice",Table5[Cost Subcategory],"COMPUTER HARDWARE",Table5[Month],"APRIL")</f>
        <v>0</v>
      </c>
      <c r="F44" s="39">
        <f>SUMIFS(Table5[Expense],Table5[Service Line],"Hospice",Table5[Cost Subcategory],"COMPUTER HARDWARE",Table5[Month],"MAY")</f>
        <v>0</v>
      </c>
      <c r="G44" s="39">
        <f>SUMIFS(Table5[Expense],Table5[Service Line],"Hospice",Table5[Cost Subcategory],"COMPUTER HARDWARE",Table5[Month],"JUNE")</f>
        <v>0</v>
      </c>
      <c r="H44" s="39">
        <f>SUMIFS(Table5[Expense],Table5[Service Line],"Hospice",Table5[Cost Subcategory],"COMPUTER HARDWARE",Table5[Month],"JULY")</f>
        <v>0</v>
      </c>
      <c r="I44" s="39">
        <f>SUMIFS(Table5[Expense],Table5[Service Line],"Hospice",Table5[Cost Subcategory],"COMPUTER HARDWARE",Table5[Month],"AUGUST")</f>
        <v>0</v>
      </c>
      <c r="J44" s="39">
        <f>SUMIFS(Table5[Expense],Table5[Service Line],"Hospice",Table5[Cost Subcategory],"COMPUTER HARDWARE",Table5[Month],"SEPTEMBER")</f>
        <v>0</v>
      </c>
      <c r="K44" s="39">
        <f>SUMIFS(Table5[Expense],Table5[Service Line],"Hospice",Table5[Cost Subcategory],"COMPUTER HARDWARE",Table5[Month],"OCTOBER")</f>
        <v>0</v>
      </c>
      <c r="L44" s="39">
        <f>SUMIFS(Table5[Expense],Table5[Service Line],"Hospice",Table5[Cost Subcategory],"COMPUTER HARDWARE",Table5[Month],"NOVEMBER")</f>
        <v>0</v>
      </c>
      <c r="M44" s="39">
        <f>SUMIFS(Table5[Expense],Table5[Service Line],"Hospice",Table5[Cost Subcategory],"COMPUTER HARDWARE",Table5[Month],"DECEMBER")</f>
        <v>0</v>
      </c>
      <c r="N44" s="43">
        <f t="shared" si="5"/>
        <v>0</v>
      </c>
      <c r="P44" s="198"/>
    </row>
    <row r="45" spans="1:16" ht="16.5" thickTop="1" thickBot="1" x14ac:dyDescent="0.35">
      <c r="A45" s="31" t="s">
        <v>98</v>
      </c>
      <c r="B45" s="39">
        <f>SUMIFS(Table5[Expense],Table5[Service Line],"Hospice",Table5[Cost Subcategory],"COMPUTER SOFTWARE",Table5[Month],"JANUARY")</f>
        <v>0</v>
      </c>
      <c r="C45" s="39">
        <f>SUMIFS(Table5[Expense],Table5[Service Line],"Hospice",Table5[Cost Subcategory],"COMPUTER SOFTWARE",Table5[Month],"FEBRUARY")</f>
        <v>0</v>
      </c>
      <c r="D45" s="39">
        <f>SUMIFS(Table5[Expense],Table5[Service Line],"Hospice",Table5[Cost Subcategory],"COMPUTER SOFTWARE",Table5[Month],"MARCH")</f>
        <v>0</v>
      </c>
      <c r="E45" s="39">
        <f>SUMIFS(Table5[Expense],Table5[Service Line],"Hospice",Table5[Cost Subcategory],"COMPUTER SOFTWARE",Table5[Month],"APRIL")</f>
        <v>0</v>
      </c>
      <c r="F45" s="39">
        <f>SUMIFS(Table5[Expense],Table5[Service Line],"Hospice",Table5[Cost Subcategory],"COMPUTER SOFTWARE",Table5[Month],"MAY")</f>
        <v>0</v>
      </c>
      <c r="G45" s="39">
        <f>SUMIFS(Table5[Expense],Table5[Service Line],"Hospice",Table5[Cost Subcategory],"COMPUTER SOFTWARE",Table5[Month],"JUNE")</f>
        <v>0</v>
      </c>
      <c r="H45" s="39">
        <f>SUMIFS(Table5[Expense],Table5[Service Line],"Hospice",Table5[Cost Subcategory],"COMPUTER SOFTWARE",Table5[Month],"JULY")</f>
        <v>0</v>
      </c>
      <c r="I45" s="39">
        <f>SUMIFS(Table5[Expense],Table5[Service Line],"Hospice",Table5[Cost Subcategory],"COMPUTER SOFTWARE",Table5[Month],"AUGUST")</f>
        <v>0</v>
      </c>
      <c r="J45" s="39">
        <f>SUMIFS(Table5[Expense],Table5[Service Line],"Hospice",Table5[Cost Subcategory],"COMPUTER SOFTWARE",Table5[Month],"SEPTEMBER")</f>
        <v>0</v>
      </c>
      <c r="K45" s="39">
        <f>SUMIFS(Table5[Expense],Table5[Service Line],"Hospice",Table5[Cost Subcategory],"COMPUTER SOFTWARE",Table5[Month],"OCTOBER")</f>
        <v>0</v>
      </c>
      <c r="L45" s="39">
        <f>SUMIFS(Table5[Expense],Table5[Service Line],"Hospice",Table5[Cost Subcategory],"COMPUTER SOFTWARE",Table5[Month],"NOVEMBER")</f>
        <v>0</v>
      </c>
      <c r="M45" s="39">
        <f>SUMIFS(Table5[Expense],Table5[Service Line],"Hospice",Table5[Cost Subcategory],"COMPUTER SOFTWARE",Table5[Month],"DECEMBER")</f>
        <v>0</v>
      </c>
      <c r="N45" s="43">
        <f t="shared" ref="N45:N46" si="7">SUM(D45:M45)</f>
        <v>0</v>
      </c>
      <c r="P45" s="198"/>
    </row>
    <row r="46" spans="1:16" ht="16.5" thickTop="1" thickBot="1" x14ac:dyDescent="0.35">
      <c r="A46" s="31" t="s">
        <v>99</v>
      </c>
      <c r="B46" s="39">
        <f>SUMIFS(Table5[Expense],Table5[Service Line],"Hospice",Table5[Cost Subcategory],"COMPUTER MAINTENANCE",Table5[Month],"JANUARY")</f>
        <v>0</v>
      </c>
      <c r="C46" s="39">
        <f>SUMIFS(Table5[Expense],Table5[Service Line],"Hospice",Table5[Cost Subcategory],"COMPUTER MAINTENANCE",Table5[Month],"FEBRUARY")</f>
        <v>0</v>
      </c>
      <c r="D46" s="39">
        <f>SUMIFS(Table5[Expense],Table5[Service Line],"Hospice",Table5[Cost Subcategory],"COMPUTER MAINTENANCE",Table5[Month],"MARCH")</f>
        <v>0</v>
      </c>
      <c r="E46" s="39">
        <f>SUMIFS(Table5[Expense],Table5[Service Line],"Hospice",Table5[Cost Subcategory],"COMPUTER MAINTENANCE",Table5[Month],"APRIL")</f>
        <v>0</v>
      </c>
      <c r="F46" s="39">
        <f>SUMIFS(Table5[Expense],Table5[Service Line],"Hospice",Table5[Cost Subcategory],"COMPUTER MAINTENANCE",Table5[Month],"MAY")</f>
        <v>0</v>
      </c>
      <c r="G46" s="39">
        <f>SUMIFS(Table5[Expense],Table5[Service Line],"Hospice",Table5[Cost Subcategory],"COMPUTER MAINTENANCE",Table5[Month],"JUNE")</f>
        <v>0</v>
      </c>
      <c r="H46" s="39">
        <f>SUMIFS(Table5[Expense],Table5[Service Line],"Hospice",Table5[Cost Subcategory],"COMPUTER MAINTENANCE",Table5[Month],"JULY")</f>
        <v>0</v>
      </c>
      <c r="I46" s="39">
        <f>SUMIFS(Table5[Expense],Table5[Service Line],"Hospice",Table5[Cost Subcategory],"COMPUTER MAINTENANCE",Table5[Month],"AUGUST")</f>
        <v>0</v>
      </c>
      <c r="J46" s="39">
        <f>SUMIFS(Table5[Expense],Table5[Service Line],"Hospice",Table5[Cost Subcategory],"COMPUTER MAINTENANCE",Table5[Month],"SEPTEMBER")</f>
        <v>0</v>
      </c>
      <c r="K46" s="39">
        <f>SUMIFS(Table5[Expense],Table5[Service Line],"Hospice",Table5[Cost Subcategory],"COMPUTER MAINTENANCE",Table5[Month],"OCTOBER")</f>
        <v>0</v>
      </c>
      <c r="L46" s="39">
        <f>SUMIFS(Table5[Expense],Table5[Service Line],"Hospice",Table5[Cost Subcategory],"COMPUTER MAINTENANCE",Table5[Month],"NOVEMBER")</f>
        <v>0</v>
      </c>
      <c r="M46" s="39">
        <f>SUMIFS(Table5[Expense],Table5[Service Line],"Hospice",Table5[Cost Subcategory],"COMPUTER MAINTENANCE",Table5[Month],"DECEMBER")</f>
        <v>0</v>
      </c>
      <c r="N46" s="43">
        <f t="shared" si="7"/>
        <v>0</v>
      </c>
      <c r="P46" s="198"/>
    </row>
    <row r="47" spans="1:16" ht="16.5" thickTop="1" thickBot="1" x14ac:dyDescent="0.35">
      <c r="A47" s="31" t="s">
        <v>101</v>
      </c>
      <c r="B47" s="39">
        <f>SUMIFS(Table5[Expense],Table5[Service Line],"Hospice",Table5[Cost Subcategory],"IS SUPPORT-OTHER",Table5[Month],"JANUARY")</f>
        <v>0</v>
      </c>
      <c r="C47" s="39">
        <f>SUMIFS(Table5[Expense],Table5[Service Line],"Hospice",Table5[Cost Subcategory],"IS SUPPORT-OTHER",Table5[Month],"FEBRUARY")</f>
        <v>0</v>
      </c>
      <c r="D47" s="39">
        <f>SUMIFS(Table5[Expense],Table5[Service Line],"Hospice",Table5[Cost Subcategory],"IS SUPPORT-OTHER",Table5[Month],"MARCH")</f>
        <v>0</v>
      </c>
      <c r="E47" s="39">
        <f>SUMIFS(Table5[Expense],Table5[Service Line],"Hospice",Table5[Cost Subcategory],"IS SUPPORT-OTHER",Table5[Month],"APRIL")</f>
        <v>0</v>
      </c>
      <c r="F47" s="39">
        <f>SUMIFS(Table5[Expense],Table5[Service Line],"Hospice",Table5[Cost Subcategory],"IS SUPPORT-OTHER",Table5[Month],"MAY")</f>
        <v>0</v>
      </c>
      <c r="G47" s="39">
        <f>SUMIFS(Table5[Expense],Table5[Service Line],"Hospice",Table5[Cost Subcategory],"IS SUPPORT-OTHER",Table5[Month],"JUNE")</f>
        <v>0</v>
      </c>
      <c r="H47" s="39">
        <f>SUMIFS(Table5[Expense],Table5[Service Line],"Hospice",Table5[Cost Subcategory],"IS SUPPORT-OTHER",Table5[Month],"JULY")</f>
        <v>0</v>
      </c>
      <c r="I47" s="39">
        <f>SUMIFS(Table5[Expense],Table5[Service Line],"Hospice",Table5[Cost Subcategory],"IS SUPPORT-OTHER",Table5[Month],"AUGUST")</f>
        <v>0</v>
      </c>
      <c r="J47" s="39">
        <f>SUMIFS(Table5[Expense],Table5[Service Line],"Hospice",Table5[Cost Subcategory],"IS SUPPORT-OTHER",Table5[Month],"SEPTEMBER")</f>
        <v>0</v>
      </c>
      <c r="K47" s="39">
        <f>SUMIFS(Table5[Expense],Table5[Service Line],"Hospice",Table5[Cost Subcategory],"IS SUPPORT-OTHER",Table5[Month],"OCTOBER")</f>
        <v>0</v>
      </c>
      <c r="L47" s="39">
        <f>SUMIFS(Table5[Expense],Table5[Service Line],"Hospice",Table5[Cost Subcategory],"IS SUPPORT-OTHER",Table5[Month],"NOVEMBER")</f>
        <v>0</v>
      </c>
      <c r="M47" s="39">
        <f>SUMIFS(Table5[Expense],Table5[Service Line],"Hospice",Table5[Cost Subcategory],"IS SUPPORT-OTHER",Table5[Month],"DECEMBER")</f>
        <v>0</v>
      </c>
      <c r="N47" s="43">
        <f t="shared" ref="N47" si="8">SUM(D47:M47)</f>
        <v>0</v>
      </c>
      <c r="P47" s="198"/>
    </row>
    <row r="48" spans="1:16" ht="16.5" thickTop="1" thickBot="1" x14ac:dyDescent="0.35">
      <c r="A48" s="31" t="s">
        <v>100</v>
      </c>
      <c r="B48" s="39">
        <f>SUMIFS(Table5[Expense],Table5[Service Line],"Hospice",Table5[Cost Subcategory],"DEPRECIATION EXPENSE",Table5[Month],"JANUARY")</f>
        <v>0</v>
      </c>
      <c r="C48" s="39">
        <f>SUMIFS(Table5[Expense],Table5[Service Line],"Hospice",Table5[Cost Subcategory],"DEPRECIATION EXPENSE",Table5[Month],"FEBRUARY")</f>
        <v>0</v>
      </c>
      <c r="D48" s="39">
        <f>SUMIFS(Table5[Expense],Table5[Service Line],"Hospice",Table5[Cost Subcategory],"DEPRECIATION EXPENSE",Table5[Month],"MARCH")</f>
        <v>0</v>
      </c>
      <c r="E48" s="39">
        <f>SUMIFS(Table5[Expense],Table5[Service Line],"Hospice",Table5[Cost Subcategory],"DEPRECIATION EXPENSE",Table5[Month],"APRIL")</f>
        <v>0</v>
      </c>
      <c r="F48" s="39">
        <f>SUMIFS(Table5[Expense],Table5[Service Line],"Hospice",Table5[Cost Subcategory],"DEPRECIATION EXPENSE",Table5[Month],"MAY")</f>
        <v>0</v>
      </c>
      <c r="G48" s="39">
        <f>SUMIFS(Table5[Expense],Table5[Service Line],"Hospice",Table5[Cost Subcategory],"DEPRECIATION EXPENSE",Table5[Month],"JUNE")</f>
        <v>0</v>
      </c>
      <c r="H48" s="39">
        <f>SUMIFS(Table5[Expense],Table5[Service Line],"Hospice",Table5[Cost Subcategory],"DEPRECIATION EXPENSE",Table5[Month],"JULY")</f>
        <v>0</v>
      </c>
      <c r="I48" s="39">
        <f>SUMIFS(Table5[Expense],Table5[Service Line],"Hospice",Table5[Cost Subcategory],"DEPRECIATION EXPENSE",Table5[Month],"AUGUST")</f>
        <v>0</v>
      </c>
      <c r="J48" s="39">
        <f>SUMIFS(Table5[Expense],Table5[Service Line],"Hospice",Table5[Cost Subcategory],"DEPRECIATION EXPENSE",Table5[Month],"SEPTEMBER")</f>
        <v>0</v>
      </c>
      <c r="K48" s="39">
        <f>SUMIFS(Table5[Expense],Table5[Service Line],"Hospice",Table5[Cost Subcategory],"DEPRECIATION EXPENSE",Table5[Month],"OCTOBER")</f>
        <v>0</v>
      </c>
      <c r="L48" s="39">
        <f>SUMIFS(Table5[Expense],Table5[Service Line],"Hospice",Table5[Cost Subcategory],"DEPRECIATION EXPENSE",Table5[Month],"NOVEMBER")</f>
        <v>0</v>
      </c>
      <c r="M48" s="39">
        <f>SUMIFS(Table5[Expense],Table5[Service Line],"Hospice",Table5[Cost Subcategory],"DEPRECIATION EXPENSE",Table5[Month],"DECEMBER")</f>
        <v>0</v>
      </c>
      <c r="N48" s="43">
        <f t="shared" ref="N48" si="9">SUM(D48:M48)</f>
        <v>0</v>
      </c>
      <c r="P48" s="198"/>
    </row>
    <row r="49" spans="1:16" ht="16.5" thickTop="1" thickBot="1" x14ac:dyDescent="0.35">
      <c r="A49" s="31" t="s">
        <v>124</v>
      </c>
      <c r="B49" s="39">
        <f>SUMIFS(Table5[Expense],Table5[Service Line],"Hospice",Table5[Cost Subcategory],"DUES, FEES &amp; SUBSCRIPTIONS",Table5[Month],"JANUARY")</f>
        <v>0</v>
      </c>
      <c r="C49" s="39">
        <f>SUMIFS(Table5[Expense],Table5[Service Line],"Hospice",Table5[Cost Subcategory],"DUES, FEES &amp; SUBSCRIPTIONS",Table5[Month],"FEBRUARY")</f>
        <v>0</v>
      </c>
      <c r="D49" s="39">
        <f>SUMIFS(Table5[Expense],Table5[Service Line],"Hospice",Table5[Cost Subcategory],"DUES, FEES &amp; SUBSCRIPTIONS",Table5[Month],"MARCH")</f>
        <v>0</v>
      </c>
      <c r="E49" s="39">
        <f>SUMIFS(Table5[Expense],Table5[Service Line],"Hospice",Table5[Cost Subcategory],"DUES, FEES &amp; SUBSCRIPTIONS",Table5[Month],"APRIL")</f>
        <v>0</v>
      </c>
      <c r="F49" s="39">
        <f>SUMIFS(Table5[Expense],Table5[Service Line],"Hospice",Table5[Cost Subcategory],"DUES, FEES &amp; SUBSCRIPTIONS",Table5[Month],"MAY")</f>
        <v>0</v>
      </c>
      <c r="G49" s="39">
        <f>SUMIFS(Table5[Expense],Table5[Service Line],"Hospice",Table5[Cost Subcategory],"DUES, FEES &amp; SUBSCRIPTIONS",Table5[Month],"JUNE")</f>
        <v>0</v>
      </c>
      <c r="H49" s="39">
        <f>SUMIFS(Table5[Expense],Table5[Service Line],"Hospice",Table5[Cost Subcategory],"DUES, FEES &amp; SUBSCRIPTIONS",Table5[Month],"JULY")</f>
        <v>0</v>
      </c>
      <c r="I49" s="39">
        <f>SUMIFS(Table5[Expense],Table5[Service Line],"Hospice",Table5[Cost Subcategory],"DUES, FEES &amp; SUBSCRIPTIONS",Table5[Month],"AUGUST")</f>
        <v>0</v>
      </c>
      <c r="J49" s="39">
        <f>SUMIFS(Table5[Expense],Table5[Service Line],"Hospice",Table5[Cost Subcategory],"DUES, FEES &amp; SUBSCRIPTIONS",Table5[Month],"SEPTEMBER")</f>
        <v>0</v>
      </c>
      <c r="K49" s="39">
        <f>SUMIFS(Table5[Expense],Table5[Service Line],"Hospice",Table5[Cost Subcategory],"DUES, FEES &amp; SUBSCRIPTIONS",Table5[Month],"OCTOBER")</f>
        <v>0</v>
      </c>
      <c r="L49" s="39">
        <f>SUMIFS(Table5[Expense],Table5[Service Line],"Hospice",Table5[Cost Subcategory],"DUES, FEES &amp; SUBSCRIPTIONS",Table5[Month],"NOVEMBER")</f>
        <v>0</v>
      </c>
      <c r="M49" s="39">
        <f>SUMIFS(Table5[Expense],Table5[Service Line],"Hospice",Table5[Cost Subcategory],"DUES, FEES &amp; SUBSCRIPTIONS",Table5[Month],"DECEMBER")</f>
        <v>0</v>
      </c>
      <c r="N49" s="43">
        <f t="shared" si="5"/>
        <v>0</v>
      </c>
      <c r="P49" s="198"/>
    </row>
    <row r="50" spans="1:16" ht="16.5" thickTop="1" thickBot="1" x14ac:dyDescent="0.35">
      <c r="A50" s="31" t="s">
        <v>210</v>
      </c>
      <c r="B50" s="39">
        <f>SUMIFS(Table5[Expense],Table5[Service Line],"Hospice",Table5[Cost Subcategory],"EMPLOYEE EXPENSE-401K",Table5[Month],"JANUARY")</f>
        <v>0</v>
      </c>
      <c r="C50" s="39">
        <f>SUMIFS(Table5[Expense],Table5[Service Line],"Hospice",Table5[Cost Subcategory],"EMPLOYEE EXPENSE-401K",Table5[Month],"FEBRUARY")</f>
        <v>0</v>
      </c>
      <c r="D50" s="39">
        <f>SUMIFS(Table5[Expense],Table5[Service Line],"Hospice",Table5[Cost Subcategory],"EMPLOYEE EXPENSE-401K",Table5[Month],"MARCH")</f>
        <v>0</v>
      </c>
      <c r="E50" s="39">
        <f>SUMIFS(Table5[Expense],Table5[Service Line],"Hospice",Table5[Cost Subcategory],"EMPLOYEE EXPENSE-401K",Table5[Month],"APRIL")</f>
        <v>0</v>
      </c>
      <c r="F50" s="39">
        <f>SUMIFS(Table5[Expense],Table5[Service Line],"Hospice",Table5[Cost Subcategory],"EMPLOYEE EXPENSE-401K",Table5[Month],"MAY")</f>
        <v>0</v>
      </c>
      <c r="G50" s="39">
        <f>SUMIFS(Table5[Expense],Table5[Service Line],"Hospice",Table5[Cost Subcategory],"EMPLOYEE EXPENSE-401K",Table5[Month],"JUNE")</f>
        <v>0</v>
      </c>
      <c r="H50" s="39">
        <f>SUMIFS(Table5[Expense],Table5[Service Line],"Hospice",Table5[Cost Subcategory],"EMPLOYEE EXPENSE-401K",Table5[Month],"JULY")</f>
        <v>0</v>
      </c>
      <c r="I50" s="39">
        <f>SUMIFS(Table5[Expense],Table5[Service Line],"Hospice",Table5[Cost Subcategory],"EMPLOYEE EXPENSE-401K",Table5[Month],"AUGUST")</f>
        <v>0</v>
      </c>
      <c r="J50" s="39">
        <f>SUMIFS(Table5[Expense],Table5[Service Line],"Hospice",Table5[Cost Subcategory],"EMPLOYEE EXPENSE-401K",Table5[Month],"SEPTEMBER")</f>
        <v>0</v>
      </c>
      <c r="K50" s="39">
        <f>SUMIFS(Table5[Expense],Table5[Service Line],"Hospice",Table5[Cost Subcategory],"EMPLOYEE EXPENSE-401K",Table5[Month],"OCTOBER")</f>
        <v>0</v>
      </c>
      <c r="L50" s="39">
        <f>SUMIFS(Table5[Expense],Table5[Service Line],"Hospice",Table5[Cost Subcategory],"EMPLOYEE EXPENSE-401K",Table5[Month],"NOVEMBER")</f>
        <v>0</v>
      </c>
      <c r="M50" s="39">
        <f>SUMIFS(Table5[Expense],Table5[Service Line],"Hospice",Table5[Cost Subcategory],"EMPLOYEE EXPENSE-401K",Table5[Month],"DECEMBER")</f>
        <v>0</v>
      </c>
      <c r="N50" s="43">
        <f t="shared" ref="N50" si="10">SUM(D50:M50)</f>
        <v>0</v>
      </c>
      <c r="P50" s="198"/>
    </row>
    <row r="51" spans="1:16" ht="16.5" thickTop="1" thickBot="1" x14ac:dyDescent="0.35">
      <c r="A51" s="31" t="s">
        <v>211</v>
      </c>
      <c r="B51" s="39">
        <f>SUMIFS(Table5[Expense],Table5[Service Line],"Hospice",Table5[Cost Subcategory],"EMPLOYEE EXPENSE-BACKGROUND CKS",Table5[Month],"JANUARY")</f>
        <v>0</v>
      </c>
      <c r="C51" s="39">
        <f>SUMIFS(Table5[Expense],Table5[Service Line],"Hospice",Table5[Cost Subcategory],"EMPLOYEE EXPENSE-BACKGROUND CKS",Table5[Month],"FEBRUARY")</f>
        <v>0</v>
      </c>
      <c r="D51" s="39">
        <f>SUMIFS(Table5[Expense],Table5[Service Line],"Hospice",Table5[Cost Subcategory],"EMPLOYEE EXPENSE-BACKGROUND CKS",Table5[Month],"MARCH")</f>
        <v>0</v>
      </c>
      <c r="E51" s="39">
        <f>SUMIFS(Table5[Expense],Table5[Service Line],"Hospice",Table5[Cost Subcategory],"EMPLOYEE EXPENSE-BACKGROUND CKS",Table5[Month],"APRIL")</f>
        <v>0</v>
      </c>
      <c r="F51" s="39">
        <f>SUMIFS(Table5[Expense],Table5[Service Line],"Hospice",Table5[Cost Subcategory],"EMPLOYEE EXPENSE-BACKGROUND CKS",Table5[Month],"MAY")</f>
        <v>0</v>
      </c>
      <c r="G51" s="39">
        <f>SUMIFS(Table5[Expense],Table5[Service Line],"Hospice",Table5[Cost Subcategory],"EMPLOYEE EXPENSE-BACKGROUND CKS",Table5[Month],"JUNE")</f>
        <v>0</v>
      </c>
      <c r="H51" s="39">
        <f>SUMIFS(Table5[Expense],Table5[Service Line],"Hospice",Table5[Cost Subcategory],"EMPLOYEE EXPENSE-BACKGROUND CKS",Table5[Month],"JULY")</f>
        <v>0</v>
      </c>
      <c r="I51" s="39">
        <f>SUMIFS(Table5[Expense],Table5[Service Line],"Hospice",Table5[Cost Subcategory],"EMPLOYEE EXPENSE-BACKGROUND CKS",Table5[Month],"AUGUST")</f>
        <v>0</v>
      </c>
      <c r="J51" s="39">
        <f>SUMIFS(Table5[Expense],Table5[Service Line],"Hospice",Table5[Cost Subcategory],"EMPLOYEE EXPENSE-BACKGROUND CKS",Table5[Month],"SEPTEMBER")</f>
        <v>0</v>
      </c>
      <c r="K51" s="39">
        <f>SUMIFS(Table5[Expense],Table5[Service Line],"Hospice",Table5[Cost Subcategory],"EMPLOYEE EXPENSE-BACKGROUND CKS",Table5[Month],"OCTOBER")</f>
        <v>0</v>
      </c>
      <c r="L51" s="39">
        <f>SUMIFS(Table5[Expense],Table5[Service Line],"Hospice",Table5[Cost Subcategory],"EMPLOYEE EXPENSE-BACKGROUND CKS",Table5[Month],"NOVEMBER")</f>
        <v>0</v>
      </c>
      <c r="M51" s="39">
        <f>SUMIFS(Table5[Expense],Table5[Service Line],"Hospice",Table5[Cost Subcategory],"EMPLOYEE EXPENSE-BACKGROUND CKS",Table5[Month],"DECEMBER")</f>
        <v>0</v>
      </c>
      <c r="N51" s="43">
        <f t="shared" si="5"/>
        <v>0</v>
      </c>
      <c r="P51" s="198"/>
    </row>
    <row r="52" spans="1:16" ht="16.5" thickTop="1" thickBot="1" x14ac:dyDescent="0.35">
      <c r="A52" s="31" t="s">
        <v>212</v>
      </c>
      <c r="B52" s="39">
        <f>SUMIFS(Table5[Expense],Table5[Service Line],"Hospice",Table5[Cost Subcategory],"EMPLOYEE EXPENSE-DENTAL INS.",Table5[Month],"JANUARY")</f>
        <v>0</v>
      </c>
      <c r="C52" s="39">
        <f>SUMIFS(Table5[Expense],Table5[Service Line],"Hospice",Table5[Cost Subcategory],"EMPLOYEE EXPENSE-DENTAL INS.",Table5[Month],"FEBRUARY")</f>
        <v>0</v>
      </c>
      <c r="D52" s="39">
        <f>SUMIFS(Table5[Expense],Table5[Service Line],"Hospice",Table5[Cost Subcategory],"EMPLOYEE EXPENSE-DENTAL INS.",Table5[Month],"MARCH")</f>
        <v>0</v>
      </c>
      <c r="E52" s="39">
        <f>SUMIFS(Table5[Expense],Table5[Service Line],"Hospice",Table5[Cost Subcategory],"EMPLOYEE EXPENSE-DENTAL INS.",Table5[Month],"APRIL")</f>
        <v>0</v>
      </c>
      <c r="F52" s="39">
        <f>SUMIFS(Table5[Expense],Table5[Service Line],"Hospice",Table5[Cost Subcategory],"EMPLOYEE EXPENSE-DENTAL INS.",Table5[Month],"MAY")</f>
        <v>0</v>
      </c>
      <c r="G52" s="39">
        <f>SUMIFS(Table5[Expense],Table5[Service Line],"Hospice",Table5[Cost Subcategory],"EMPLOYEE EXPENSE-DENTAL INS.",Table5[Month],"JUNE")</f>
        <v>0</v>
      </c>
      <c r="H52" s="39">
        <f>SUMIFS(Table5[Expense],Table5[Service Line],"Hospice",Table5[Cost Subcategory],"EMPLOYEE EXPENSE-DENTAL INS.",Table5[Month],"JULY")</f>
        <v>0</v>
      </c>
      <c r="I52" s="39">
        <f>SUMIFS(Table5[Expense],Table5[Service Line],"Hospice",Table5[Cost Subcategory],"EMPLOYEE EXPENSE-DENTAL INS.",Table5[Month],"AUGUST")</f>
        <v>0</v>
      </c>
      <c r="J52" s="39">
        <f>SUMIFS(Table5[Expense],Table5[Service Line],"Hospice",Table5[Cost Subcategory],"EMPLOYEE EXPENSE-DENTAL INS.",Table5[Month],"SEPTEMBER")</f>
        <v>0</v>
      </c>
      <c r="K52" s="39">
        <f>SUMIFS(Table5[Expense],Table5[Service Line],"Hospice",Table5[Cost Subcategory],"EMPLOYEE EXPENSE-DENTAL INS.",Table5[Month],"OCTOBER")</f>
        <v>0</v>
      </c>
      <c r="L52" s="39">
        <f>SUMIFS(Table5[Expense],Table5[Service Line],"Hospice",Table5[Cost Subcategory],"EMPLOYEE EXPENSE-DENTAL INS.",Table5[Month],"NOVEMBER")</f>
        <v>0</v>
      </c>
      <c r="M52" s="39">
        <f>SUMIFS(Table5[Expense],Table5[Service Line],"Hospice",Table5[Cost Subcategory],"EMPLOYEE EXPENSE-DENTAL INS.",Table5[Month],"DECEMBER")</f>
        <v>0</v>
      </c>
      <c r="N52" s="43">
        <f t="shared" si="5"/>
        <v>0</v>
      </c>
      <c r="P52" s="198"/>
    </row>
    <row r="53" spans="1:16" ht="16.5" thickTop="1" thickBot="1" x14ac:dyDescent="0.35">
      <c r="A53" s="31" t="s">
        <v>213</v>
      </c>
      <c r="B53" s="39">
        <f>SUMIFS(Table5[Expense],Table5[Service Line],"Hospice",Table5[Cost Subcategory],"EMPLOYEE EXPENSE-HEALTH INS.",Table5[Month],"JANUARY")</f>
        <v>0</v>
      </c>
      <c r="C53" s="39">
        <f>SUMIFS(Table5[Expense],Table5[Service Line],"Hospice",Table5[Cost Subcategory],"EMPLOYEE EXPENSE-HEALTH INS.",Table5[Month],"FEBRUARY")</f>
        <v>0</v>
      </c>
      <c r="D53" s="39">
        <f>SUMIFS(Table5[Expense],Table5[Service Line],"Hospice",Table5[Cost Subcategory],"EMPLOYEE EXPENSE-HEALTH INS.",Table5[Month],"MARCH")</f>
        <v>0</v>
      </c>
      <c r="E53" s="39">
        <f>SUMIFS(Table5[Expense],Table5[Service Line],"Hospice",Table5[Cost Subcategory],"EMPLOYEE EXPENSE-HEALTH INS.",Table5[Month],"APRIL")</f>
        <v>0</v>
      </c>
      <c r="F53" s="39">
        <f>SUMIFS(Table5[Expense],Table5[Service Line],"Hospice",Table5[Cost Subcategory],"EMPLOYEE EXPENSE-HEALTH INS.",Table5[Month],"MAY")</f>
        <v>0</v>
      </c>
      <c r="G53" s="39">
        <f>SUMIFS(Table5[Expense],Table5[Service Line],"Hospice",Table5[Cost Subcategory],"EMPLOYEE EXPENSE-HEALTH INS.",Table5[Month],"JUNE")</f>
        <v>0</v>
      </c>
      <c r="H53" s="39">
        <f>SUMIFS(Table5[Expense],Table5[Service Line],"Hospice",Table5[Cost Subcategory],"EMPLOYEE EXPENSE-HEALTH INS.",Table5[Month],"JULY")</f>
        <v>0</v>
      </c>
      <c r="I53" s="39">
        <f>SUMIFS(Table5[Expense],Table5[Service Line],"Hospice",Table5[Cost Subcategory],"EMPLOYEE EXPENSE-HEALTH INS.",Table5[Month],"AUGUST")</f>
        <v>0</v>
      </c>
      <c r="J53" s="39">
        <f>SUMIFS(Table5[Expense],Table5[Service Line],"Hospice",Table5[Cost Subcategory],"EMPLOYEE EXPENSE-HEALTH INS.",Table5[Month],"SEPTEMBER")</f>
        <v>0</v>
      </c>
      <c r="K53" s="39">
        <f>SUMIFS(Table5[Expense],Table5[Service Line],"Hospice",Table5[Cost Subcategory],"EMPLOYEE EXPENSE-HEALTH INS.",Table5[Month],"OCTOBER")</f>
        <v>0</v>
      </c>
      <c r="L53" s="39">
        <f>SUMIFS(Table5[Expense],Table5[Service Line],"Hospice",Table5[Cost Subcategory],"EMPLOYEE EXPENSE-HEALTH INS.",Table5[Month],"NOVEMBER")</f>
        <v>0</v>
      </c>
      <c r="M53" s="39">
        <f>SUMIFS(Table5[Expense],Table5[Service Line],"Hospice",Table5[Cost Subcategory],"EMPLOYEE EXPENSE-HEALTH INS.",Table5[Month],"DECEMBER")</f>
        <v>0</v>
      </c>
      <c r="N53" s="43">
        <f t="shared" si="5"/>
        <v>0</v>
      </c>
      <c r="P53" s="198"/>
    </row>
    <row r="54" spans="1:16" ht="16.5" thickTop="1" thickBot="1" x14ac:dyDescent="0.35">
      <c r="A54" s="31" t="s">
        <v>424</v>
      </c>
      <c r="B54" s="39">
        <f>SUMIFS(Table5[Expense],Table5[Service Line],"Hospice",Table5[Cost Subcategory],"EMPLOYEE EXPENSE-PTO",Table5[Month],"JANUARY")</f>
        <v>0</v>
      </c>
      <c r="C54" s="39">
        <f>SUMIFS(Table5[Expense],Table5[Service Line],"Hospice",Table5[Cost Subcategory],"EMPLOYEE EXPENSE-PTO",Table5[Month],"FEBRUARY")</f>
        <v>0</v>
      </c>
      <c r="D54" s="39">
        <f>SUMIFS(Table5[Expense],Table5[Service Line],"Hospice",Table5[Cost Subcategory],"EMPLOYEE EXPENSE-PTO",Table5[Month],"MARCH")</f>
        <v>0</v>
      </c>
      <c r="E54" s="39">
        <f>SUMIFS(Table5[Expense],Table5[Service Line],"Hospice",Table5[Cost Subcategory],"EMPLOYEE EXPENSE-PTO",Table5[Month],"APRIL")</f>
        <v>0</v>
      </c>
      <c r="F54" s="39">
        <f>SUMIFS(Table5[Expense],Table5[Service Line],"Hospice",Table5[Cost Subcategory],"EMPLOYEE EXPENSE-PTO",Table5[Month],"MAY")</f>
        <v>0</v>
      </c>
      <c r="G54" s="39">
        <f>SUMIFS(Table5[Expense],Table5[Service Line],"Hospice",Table5[Cost Subcategory],"EMPLOYEE EXPENSE-PTO",Table5[Month],"JUNE")</f>
        <v>0</v>
      </c>
      <c r="H54" s="39">
        <f>SUMIFS(Table5[Expense],Table5[Service Line],"Hospice",Table5[Cost Subcategory],"EMPLOYEE EXPENSE-PTO",Table5[Month],"JULY")</f>
        <v>0</v>
      </c>
      <c r="I54" s="39">
        <f>SUMIFS(Table5[Expense],Table5[Service Line],"Hospice",Table5[Cost Subcategory],"EMPLOYEE EXPENSE-PTO",Table5[Month],"AUGUST")</f>
        <v>0</v>
      </c>
      <c r="J54" s="39">
        <f>SUMIFS(Table5[Expense],Table5[Service Line],"Hospice",Table5[Cost Subcategory],"EMPLOYEE EXPENSE-PTO",Table5[Month],"SEPTEMBER")</f>
        <v>0</v>
      </c>
      <c r="K54" s="39">
        <f>SUMIFS(Table5[Expense],Table5[Service Line],"Hospice",Table5[Cost Subcategory],"EMPLOYEE EXPENSE-PTO",Table5[Month],"OCTOBER")</f>
        <v>0</v>
      </c>
      <c r="L54" s="39">
        <f>SUMIFS(Table5[Expense],Table5[Service Line],"Hospice",Table5[Cost Subcategory],"EMPLOYEE EXPENSE-PTO",Table5[Month],"NOVEMBER")</f>
        <v>0</v>
      </c>
      <c r="M54" s="39">
        <f>SUMIFS(Table5[Expense],Table5[Service Line],"Hospice",Table5[Cost Subcategory],"EMPLOYEE EXPENSE-PTO",Table5[Month],"DECEMBER")</f>
        <v>0</v>
      </c>
      <c r="N54" s="43">
        <f>SUM(D54:M54)</f>
        <v>0</v>
      </c>
      <c r="P54" s="198"/>
    </row>
    <row r="55" spans="1:16" ht="16.5" thickTop="1" thickBot="1" x14ac:dyDescent="0.35">
      <c r="A55" s="31" t="s">
        <v>425</v>
      </c>
      <c r="B55" s="39">
        <f>SUMIFS(Table5[Expense],Table5[Service Line],"Hospice",Table5[Cost Subcategory],"EMPLOYEE EXPENSE-TAXES",Table5[Month],"JANUARY")</f>
        <v>0</v>
      </c>
      <c r="C55" s="39">
        <f>SUMIFS(Table5[Expense],Table5[Service Line],"Hospice",Table5[Cost Subcategory],"EMPLOYEE EXPENSE-TAXES",Table5[Month],"FEBRUARY")</f>
        <v>0</v>
      </c>
      <c r="D55" s="39">
        <f>SUMIFS(Table5[Expense],Table5[Service Line],"Hospice",Table5[Cost Subcategory],"EMPLOYEE EXPENSE-TAXES",Table5[Month],"MARCH")</f>
        <v>0</v>
      </c>
      <c r="E55" s="39">
        <f>SUMIFS(Table5[Expense],Table5[Service Line],"Hospice",Table5[Cost Subcategory],"EMPLOYEE EXPENSE-TAXES",Table5[Month],"APRIL")</f>
        <v>0</v>
      </c>
      <c r="F55" s="39">
        <f>SUMIFS(Table5[Expense],Table5[Service Line],"Hospice",Table5[Cost Subcategory],"EMPLOYEE EXPENSE-TAXES",Table5[Month],"MAY")</f>
        <v>0</v>
      </c>
      <c r="G55" s="39">
        <f>SUMIFS(Table5[Expense],Table5[Service Line],"Hospice",Table5[Cost Subcategory],"EMPLOYEE EXPENSE-TAXES",Table5[Month],"JUNE")</f>
        <v>0</v>
      </c>
      <c r="H55" s="39">
        <f>SUMIFS(Table5[Expense],Table5[Service Line],"Hospice",Table5[Cost Subcategory],"EMPLOYEE EXPENSE-TAXES",Table5[Month],"JULY")</f>
        <v>0</v>
      </c>
      <c r="I55" s="39">
        <f>SUMIFS(Table5[Expense],Table5[Service Line],"Hospice",Table5[Cost Subcategory],"EMPLOYEE EXPENSE-TAXES",Table5[Month],"AUGUST")</f>
        <v>0</v>
      </c>
      <c r="J55" s="39">
        <f>SUMIFS(Table5[Expense],Table5[Service Line],"Hospice",Table5[Cost Subcategory],"EMPLOYEE EXPENSE-TAXES",Table5[Month],"SEPTEMBER")</f>
        <v>0</v>
      </c>
      <c r="K55" s="39">
        <f>SUMIFS(Table5[Expense],Table5[Service Line],"Hospice",Table5[Cost Subcategory],"EMPLOYEE EXPENSE-TAXES",Table5[Month],"OCTOBER")</f>
        <v>0</v>
      </c>
      <c r="L55" s="39">
        <f>SUMIFS(Table5[Expense],Table5[Service Line],"Hospice",Table5[Cost Subcategory],"EMPLOYEE EXPENSE-TAXES",Table5[Month],"NOVEMBER")</f>
        <v>0</v>
      </c>
      <c r="M55" s="39">
        <f>SUMIFS(Table5[Expense],Table5[Service Line],"Hospice",Table5[Cost Subcategory],"EMPLOYEE EXPENSE-TAXES",Table5[Month],"DECEMBER")</f>
        <v>0</v>
      </c>
      <c r="N55" s="43">
        <f>SUM(D55:M55)</f>
        <v>0</v>
      </c>
      <c r="P55" s="198"/>
    </row>
    <row r="56" spans="1:16" ht="16.5" thickTop="1" thickBot="1" x14ac:dyDescent="0.35">
      <c r="A56" s="31" t="s">
        <v>214</v>
      </c>
      <c r="B56" s="39">
        <f>SUMIFS(Table5[Expense],Table5[Service Line],"Hospice",Table5[Cost Subcategory],"EMPLOYEE EXPENSE-TRAINING",Table5[Month],"JANUARY")</f>
        <v>0</v>
      </c>
      <c r="C56" s="39">
        <f>SUMIFS(Table5[Expense],Table5[Service Line],"Hospice",Table5[Cost Subcategory],"EMPLOYEE EXPENSE-TRAINING",Table5[Month],"FEBRUARY")</f>
        <v>0</v>
      </c>
      <c r="D56" s="39">
        <f>SUMIFS(Table5[Expense],Table5[Service Line],"Hospice",Table5[Cost Subcategory],"EMPLOYEE EXPENSE-TRAINING",Table5[Month],"MARCH")</f>
        <v>0</v>
      </c>
      <c r="E56" s="39">
        <f>SUMIFS(Table5[Expense],Table5[Service Line],"Hospice",Table5[Cost Subcategory],"EMPLOYEE EXPENSE-TRAINING",Table5[Month],"APRIL")</f>
        <v>0</v>
      </c>
      <c r="F56" s="39">
        <f>SUMIFS(Table5[Expense],Table5[Service Line],"Hospice",Table5[Cost Subcategory],"EMPLOYEE EXPENSE-TRAINING",Table5[Month],"MAY")</f>
        <v>0</v>
      </c>
      <c r="G56" s="39">
        <f>SUMIFS(Table5[Expense],Table5[Service Line],"Hospice",Table5[Cost Subcategory],"EMPLOYEE EXPENSE-TRAINING",Table5[Month],"JUNE")</f>
        <v>0</v>
      </c>
      <c r="H56" s="39">
        <f>SUMIFS(Table5[Expense],Table5[Service Line],"Hospice",Table5[Cost Subcategory],"EMPLOYEE EXPENSE-TRAINING",Table5[Month],"JULY")</f>
        <v>0</v>
      </c>
      <c r="I56" s="39">
        <f>SUMIFS(Table5[Expense],Table5[Service Line],"Hospice",Table5[Cost Subcategory],"EMPLOYEE EXPENSE-TRAINING",Table5[Month],"AUGUST")</f>
        <v>0</v>
      </c>
      <c r="J56" s="39">
        <f>SUMIFS(Table5[Expense],Table5[Service Line],"Hospice",Table5[Cost Subcategory],"EMPLOYEE EXPENSE-TRAINING",Table5[Month],"SEPTEMBER")</f>
        <v>0</v>
      </c>
      <c r="K56" s="39">
        <f>SUMIFS(Table5[Expense],Table5[Service Line],"Hospice",Table5[Cost Subcategory],"EMPLOYEE EXPENSE-TRAINING",Table5[Month],"OCTOBER")</f>
        <v>0</v>
      </c>
      <c r="L56" s="39">
        <f>SUMIFS(Table5[Expense],Table5[Service Line],"Hospice",Table5[Cost Subcategory],"EMPLOYEE EXPENSE-TRAINING",Table5[Month],"NOVEMBER")</f>
        <v>0</v>
      </c>
      <c r="M56" s="39">
        <f>SUMIFS(Table5[Expense],Table5[Service Line],"Hospice",Table5[Cost Subcategory],"EMPLOYEE EXPENSE-TRAINING",Table5[Month],"DECEMBER")</f>
        <v>0</v>
      </c>
      <c r="N56" s="43">
        <f t="shared" si="5"/>
        <v>0</v>
      </c>
      <c r="P56" s="198"/>
    </row>
    <row r="57" spans="1:16" ht="16.5" thickTop="1" thickBot="1" x14ac:dyDescent="0.35">
      <c r="A57" s="31" t="s">
        <v>215</v>
      </c>
      <c r="B57" s="39">
        <f>SUMIFS(Table5[Expense],Table5[Service Line],"Hospice",Table5[Cost Subcategory],"EMPLOYEE EXPENSE-VACCINES",Table5[Month],"JANUARY")</f>
        <v>0</v>
      </c>
      <c r="C57" s="39">
        <f>SUMIFS(Table5[Expense],Table5[Service Line],"Hospice",Table5[Cost Subcategory],"EMPLOYEE EXPENSE-VACCINES",Table5[Month],"FEBRUARY")</f>
        <v>0</v>
      </c>
      <c r="D57" s="39">
        <f>SUMIFS(Table5[Expense],Table5[Service Line],"Hospice",Table5[Cost Subcategory],"EMPLOYEE EXPENSE-VACCINES",Table5[Month],"MARCH")</f>
        <v>0</v>
      </c>
      <c r="E57" s="39">
        <f>SUMIFS(Table5[Expense],Table5[Service Line],"Hospice",Table5[Cost Subcategory],"EMPLOYEE EXPENSE-VACCINES",Table5[Month],"APRIL")</f>
        <v>0</v>
      </c>
      <c r="F57" s="39">
        <f>SUMIFS(Table5[Expense],Table5[Service Line],"Hospice",Table5[Cost Subcategory],"EMPLOYEE EXPENSE-VACCINES",Table5[Month],"MAY")</f>
        <v>0</v>
      </c>
      <c r="G57" s="39">
        <f>SUMIFS(Table5[Expense],Table5[Service Line],"Hospice",Table5[Cost Subcategory],"EMPLOYEE EXPENSE-VACCINES",Table5[Month],"JUNE")</f>
        <v>0</v>
      </c>
      <c r="H57" s="39">
        <f>SUMIFS(Table5[Expense],Table5[Service Line],"Hospice",Table5[Cost Subcategory],"EMPLOYEE EXPENSE-VACCINES",Table5[Month],"JULY")</f>
        <v>0</v>
      </c>
      <c r="I57" s="39">
        <f>SUMIFS(Table5[Expense],Table5[Service Line],"Hospice",Table5[Cost Subcategory],"EMPLOYEE EXPENSE-VACCINES",Table5[Month],"AUGUST")</f>
        <v>0</v>
      </c>
      <c r="J57" s="39">
        <f>SUMIFS(Table5[Expense],Table5[Service Line],"Hospice",Table5[Cost Subcategory],"EMPLOYEE EXPENSE-VACCINES",Table5[Month],"SEPTEMBER")</f>
        <v>0</v>
      </c>
      <c r="K57" s="39">
        <f>SUMIFS(Table5[Expense],Table5[Service Line],"Hospice",Table5[Cost Subcategory],"EMPLOYEE EXPENSE-VACCINES",Table5[Month],"OCTOBER")</f>
        <v>0</v>
      </c>
      <c r="L57" s="39">
        <f>SUMIFS(Table5[Expense],Table5[Service Line],"Hospice",Table5[Cost Subcategory],"EMPLOYEE EXPENSE-VACCINES",Table5[Month],"NOVEMBER")</f>
        <v>0</v>
      </c>
      <c r="M57" s="39">
        <f>SUMIFS(Table5[Expense],Table5[Service Line],"Hospice",Table5[Cost Subcategory],"EMPLOYEE EXPENSE-VACCINES",Table5[Month],"DECEMBER")</f>
        <v>0</v>
      </c>
      <c r="N57" s="43">
        <f t="shared" si="5"/>
        <v>0</v>
      </c>
      <c r="P57" s="198"/>
    </row>
    <row r="58" spans="1:16" ht="16.5" thickTop="1" thickBot="1" x14ac:dyDescent="0.35">
      <c r="A58" s="31" t="s">
        <v>216</v>
      </c>
      <c r="B58" s="39">
        <f>SUMIFS(Table5[Expense],Table5[Service Line],"Hospice",Table5[Cost Subcategory],"EMPLOYEE EXPENSE-UNIFORMS",Table5[Month],"JANUARY")</f>
        <v>0</v>
      </c>
      <c r="C58" s="39">
        <f>SUMIFS(Table5[Expense],Table5[Service Line],"Hospice",Table5[Cost Subcategory],"EMPLOYEE EXPENSE-UNIFORMS",Table5[Month],"FEBRUARY")</f>
        <v>0</v>
      </c>
      <c r="D58" s="39">
        <f>SUMIFS(Table5[Expense],Table5[Service Line],"Hospice",Table5[Cost Subcategory],"EMPLOYEE EXPENSE-UNIFORMS",Table5[Month],"MARCH")</f>
        <v>0</v>
      </c>
      <c r="E58" s="39">
        <f>SUMIFS(Table5[Expense],Table5[Service Line],"Hospice",Table5[Cost Subcategory],"EMPLOYEE EXPENSE-UNIFORMS",Table5[Month],"APRIL")</f>
        <v>0</v>
      </c>
      <c r="F58" s="39">
        <f>SUMIFS(Table5[Expense],Table5[Service Line],"Hospice",Table5[Cost Subcategory],"EMPLOYEE EXPENSE-UNIFORMS",Table5[Month],"MAY")</f>
        <v>0</v>
      </c>
      <c r="G58" s="39">
        <f>SUMIFS(Table5[Expense],Table5[Service Line],"Hospice",Table5[Cost Subcategory],"EMPLOYEE EXPENSE-UNIFORMS",Table5[Month],"JUNE")</f>
        <v>0</v>
      </c>
      <c r="H58" s="39">
        <f>SUMIFS(Table5[Expense],Table5[Service Line],"Hospice",Table5[Cost Subcategory],"EMPLOYEE EXPENSE-UNIFORMS",Table5[Month],"JULY")</f>
        <v>0</v>
      </c>
      <c r="I58" s="39">
        <f>SUMIFS(Table5[Expense],Table5[Service Line],"Hospice",Table5[Cost Subcategory],"EMPLOYEE EXPENSE-UNIFORMS",Table5[Month],"AUGUST")</f>
        <v>0</v>
      </c>
      <c r="J58" s="39">
        <f>SUMIFS(Table5[Expense],Table5[Service Line],"Hospice",Table5[Cost Subcategory],"EMPLOYEE EXPENSE-UNIFORMS",Table5[Month],"SEPTEMBER")</f>
        <v>0</v>
      </c>
      <c r="K58" s="39">
        <f>SUMIFS(Table5[Expense],Table5[Service Line],"Hospice",Table5[Cost Subcategory],"EMPLOYEE EXPENSE-UNIFORMS",Table5[Month],"OCTOBER")</f>
        <v>0</v>
      </c>
      <c r="L58" s="39">
        <f>SUMIFS(Table5[Expense],Table5[Service Line],"Hospice",Table5[Cost Subcategory],"EMPLOYEE EXPENSE-UNIFORMS",Table5[Month],"NOVEMBER")</f>
        <v>0</v>
      </c>
      <c r="M58" s="39">
        <f>SUMIFS(Table5[Expense],Table5[Service Line],"Hospice",Table5[Cost Subcategory],"EMPLOYEE EXPENSE-UNIFORMS",Table5[Month],"DECEMBER")</f>
        <v>0</v>
      </c>
      <c r="N58" s="43">
        <f t="shared" si="5"/>
        <v>0</v>
      </c>
      <c r="P58" s="198"/>
    </row>
    <row r="59" spans="1:16" ht="16.5" thickTop="1" thickBot="1" x14ac:dyDescent="0.35">
      <c r="A59" s="31" t="s">
        <v>118</v>
      </c>
      <c r="B59" s="39">
        <f>SUMIFS(Table5[Expense],Table5[Service Line],"Hospice",Table5[Cost Subcategory],"IMAGING",Table5[Month],"JANUARY")</f>
        <v>0</v>
      </c>
      <c r="C59" s="39">
        <f>SUMIFS(Table5[Expense],Table5[Service Line],"Hospice",Table5[Cost Subcategory],"IMAGING",Table5[Month],"FEBRUARY")</f>
        <v>0</v>
      </c>
      <c r="D59" s="39">
        <f>SUMIFS(Table5[Expense],Table5[Service Line],"Hospice",Table5[Cost Subcategory],"IMAGING",Table5[Month],"MARCH")</f>
        <v>0</v>
      </c>
      <c r="E59" s="39">
        <f>SUMIFS(Table5[Expense],Table5[Service Line],"Hospice",Table5[Cost Subcategory],"IMAGING",Table5[Month],"APRIL")</f>
        <v>0</v>
      </c>
      <c r="F59" s="39">
        <f>SUMIFS(Table5[Expense],Table5[Service Line],"Hospice",Table5[Cost Subcategory],"IMAGING",Table5[Month],"MAY")</f>
        <v>0</v>
      </c>
      <c r="G59" s="39">
        <f>SUMIFS(Table5[Expense],Table5[Service Line],"Hospice",Table5[Cost Subcategory],"IMAGING",Table5[Month],"JUNE")</f>
        <v>0</v>
      </c>
      <c r="H59" s="39">
        <f>SUMIFS(Table5[Expense],Table5[Service Line],"Hospice",Table5[Cost Subcategory],"IMAGING",Table5[Month],"JULY")</f>
        <v>0</v>
      </c>
      <c r="I59" s="39">
        <f>SUMIFS(Table5[Expense],Table5[Service Line],"Hospice",Table5[Cost Subcategory],"IMAGING",Table5[Month],"AUGUST")</f>
        <v>0</v>
      </c>
      <c r="J59" s="39">
        <f>SUMIFS(Table5[Expense],Table5[Service Line],"Hospice",Table5[Cost Subcategory],"IMAGING",Table5[Month],"SEPTEMBER")</f>
        <v>0</v>
      </c>
      <c r="K59" s="39">
        <f>SUMIFS(Table5[Expense],Table5[Service Line],"Hospice",Table5[Cost Subcategory],"IMAGING",Table5[Month],"OCTOBER")</f>
        <v>0</v>
      </c>
      <c r="L59" s="39">
        <f>SUMIFS(Table5[Expense],Table5[Service Line],"Hospice",Table5[Cost Subcategory],"IMAGING",Table5[Month],"NOVEMBER")</f>
        <v>0</v>
      </c>
      <c r="M59" s="39">
        <f>SUMIFS(Table5[Expense],Table5[Service Line],"Hospice",Table5[Cost Subcategory],"IMAGING",Table5[Month],"DECEMBER")</f>
        <v>0</v>
      </c>
      <c r="N59" s="43">
        <f>SUM(D59:M59)</f>
        <v>0</v>
      </c>
      <c r="P59" s="198"/>
    </row>
    <row r="60" spans="1:16" ht="16.5" thickTop="1" thickBot="1" x14ac:dyDescent="0.35">
      <c r="A60" s="31" t="s">
        <v>324</v>
      </c>
      <c r="B60" s="39">
        <f>SUMIFS(Table5[Expense],Table5[Service Line],"HOSPICE",Table5[Cost Subcategory],"INS-WORKERS COMP",Table5[Month],"JANUARY")</f>
        <v>0</v>
      </c>
      <c r="C60" s="39">
        <f>SUMIFS(Table5[Expense],Table5[Service Line],"HOSPICE",Table5[Cost Subcategory],"INS-WORKERS COMP",Table5[Month],"FEBRUARY")</f>
        <v>0</v>
      </c>
      <c r="D60" s="39">
        <f>SUMIFS(Table5[Expense],Table5[Service Line],"HOSPICE",Table5[Cost Subcategory],"INS-WORKERS COMP",Table5[Month],"MARCH")</f>
        <v>0</v>
      </c>
      <c r="E60" s="39">
        <f>SUMIFS(Table5[Expense],Table5[Service Line],"HOSPICE",Table5[Cost Subcategory],"INS-WORKERS COMP",Table5[Month],"APRIL")</f>
        <v>0</v>
      </c>
      <c r="F60" s="39">
        <f>SUMIFS(Table5[Expense],Table5[Service Line],"HOSPICE",Table5[Cost Subcategory],"INS-WORKERS COMP",Table5[Month],"MAY")</f>
        <v>0</v>
      </c>
      <c r="G60" s="39">
        <f>SUMIFS(Table5[Expense],Table5[Service Line],"HOSPICE",Table5[Cost Subcategory],"INS-WORKERS COMP",Table5[Month],"JUNE")</f>
        <v>0</v>
      </c>
      <c r="H60" s="39">
        <f>SUMIFS(Table5[Expense],Table5[Service Line],"HOSPICE",Table5[Cost Subcategory],"INS-WORKERS COMP",Table5[Month],"JULY")</f>
        <v>0</v>
      </c>
      <c r="I60" s="39">
        <f>SUMIFS(Table5[Expense],Table5[Service Line],"HOSPICE",Table5[Cost Subcategory],"INS-WORKERS COMP",Table5[Month],"AUGUST")</f>
        <v>0</v>
      </c>
      <c r="J60" s="39">
        <f>SUMIFS(Table5[Expense],Table5[Service Line],"HOSPICE",Table5[Cost Subcategory],"INS-WORKERS COMP",Table5[Month],"SEPTEMBER")</f>
        <v>0</v>
      </c>
      <c r="K60" s="39">
        <f>SUMIFS(Table5[Expense],Table5[Service Line],"HOSPICE",Table5[Cost Subcategory],"INS-WORKERS COMP",Table5[Month],"OCTOBER")</f>
        <v>0</v>
      </c>
      <c r="L60" s="39">
        <f>SUMIFS(Table5[Expense],Table5[Service Line],"HOSPICE",Table5[Cost Subcategory],"INS-WORKERS COMP",Table5[Month],"NOVEMBER")</f>
        <v>0</v>
      </c>
      <c r="M60" s="39">
        <f>SUMIFS(Table5[Expense],Table5[Service Line],"HOSPICE",Table5[Cost Subcategory],"INS-WORKERS COMP",Table5[Month],"DECEMBER")</f>
        <v>0</v>
      </c>
      <c r="N60" s="43">
        <f t="shared" ref="N60" si="11">SUM(D60:M60)</f>
        <v>0</v>
      </c>
      <c r="P60" s="198"/>
    </row>
    <row r="61" spans="1:16" ht="16.5" thickTop="1" thickBot="1" x14ac:dyDescent="0.35">
      <c r="A61" s="31" t="s">
        <v>120</v>
      </c>
      <c r="B61" s="39">
        <f>SUMIFS(Table5[Expense],Table5[Service Line],"HOSPICE",Table5[Cost Subcategory],"IPU-LAUNDRY",Table5[Month],"JANUARY")</f>
        <v>0</v>
      </c>
      <c r="C61" s="39">
        <f>SUMIFS(Table5[Expense],Table5[Service Line],"HOSPICE",Table5[Cost Subcategory],"IPU-LAUNDRY",Table5[Month],"FEBRUARY")</f>
        <v>0</v>
      </c>
      <c r="D61" s="39">
        <f>SUMIFS(Table5[Expense],Table5[Service Line],"HOSPICE",Table5[Cost Subcategory],"IPU-LAUNDRY",Table5[Month],"MARCH")</f>
        <v>0</v>
      </c>
      <c r="E61" s="39">
        <f>SUMIFS(Table5[Expense],Table5[Service Line],"HOSPICE",Table5[Cost Subcategory],"IPU-LAUNDRY",Table5[Month],"APRIL")</f>
        <v>0</v>
      </c>
      <c r="F61" s="39">
        <f>SUMIFS(Table5[Expense],Table5[Service Line],"HOSPICE",Table5[Cost Subcategory],"IPU-LAUNDRY",Table5[Month],"MAY")</f>
        <v>0</v>
      </c>
      <c r="G61" s="39">
        <f>SUMIFS(Table5[Expense],Table5[Service Line],"HOSPICE",Table5[Cost Subcategory],"IPU-LAUNDRY",Table5[Month],"JUNE")</f>
        <v>0</v>
      </c>
      <c r="H61" s="39">
        <f>SUMIFS(Table5[Expense],Table5[Service Line],"HOSPICE",Table5[Cost Subcategory],"IPU-LAUNDRY",Table5[Month],"JULY")</f>
        <v>0</v>
      </c>
      <c r="I61" s="39">
        <f>SUMIFS(Table5[Expense],Table5[Service Line],"HOSPICE",Table5[Cost Subcategory],"IPU-LAUNDRY",Table5[Month],"AUGUST")</f>
        <v>0</v>
      </c>
      <c r="J61" s="39">
        <f>SUMIFS(Table5[Expense],Table5[Service Line],"HOSPICE",Table5[Cost Subcategory],"IPU-LAUNDRY",Table5[Month],"SEPTEMBER")</f>
        <v>0</v>
      </c>
      <c r="K61" s="39">
        <f>SUMIFS(Table5[Expense],Table5[Service Line],"HOSPICE",Table5[Cost Subcategory],"IPU-LAUNDRY",Table5[Month],"OCTOBER")</f>
        <v>0</v>
      </c>
      <c r="L61" s="39">
        <f>SUMIFS(Table5[Expense],Table5[Service Line],"HOSPICE",Table5[Cost Subcategory],"IPU-LAUNDRY",Table5[Month],"NOVEMBER")</f>
        <v>0</v>
      </c>
      <c r="M61" s="39">
        <f>SUMIFS(Table5[Expense],Table5[Service Line],"HOSPICE",Table5[Cost Subcategory],"IPU-LAUNDRY",Table5[Month],"DECEMBER")</f>
        <v>0</v>
      </c>
      <c r="N61" s="43">
        <f t="shared" si="5"/>
        <v>0</v>
      </c>
      <c r="P61" s="198"/>
    </row>
    <row r="62" spans="1:16" ht="16.5" thickTop="1" thickBot="1" x14ac:dyDescent="0.35">
      <c r="A62" s="31" t="s">
        <v>121</v>
      </c>
      <c r="B62" s="39">
        <f>SUMIFS(Table5[Expense],Table5[Service Line],"HOSPICE",Table5[Cost Subcategory],"IPU-HOUSEKEEPING",Table5[Month],"JANUARY")</f>
        <v>0</v>
      </c>
      <c r="C62" s="39">
        <f>SUMIFS(Table5[Expense],Table5[Service Line],"HOSPICE",Table5[Cost Subcategory],"IPU-HOUSEKEEPING",Table5[Month],"FEBRUARY")</f>
        <v>0</v>
      </c>
      <c r="D62" s="39">
        <f>SUMIFS(Table5[Expense],Table5[Service Line],"HOSPICE",Table5[Cost Subcategory],"IPU-HOUSEKEEPING",Table5[Month],"MARCH")</f>
        <v>0</v>
      </c>
      <c r="E62" s="39">
        <f>SUMIFS(Table5[Expense],Table5[Service Line],"HOSPICE",Table5[Cost Subcategory],"IPU-HOUSEKEEPING",Table5[Month],"APRIL")</f>
        <v>0</v>
      </c>
      <c r="F62" s="39">
        <f>SUMIFS(Table5[Expense],Table5[Service Line],"HOSPICE",Table5[Cost Subcategory],"IPU-HOUSEKEEPING",Table5[Month],"MAY")</f>
        <v>0</v>
      </c>
      <c r="G62" s="39">
        <f>SUMIFS(Table5[Expense],Table5[Service Line],"HOSPICE",Table5[Cost Subcategory],"IPU-HOUSEKEEPING",Table5[Month],"JUNE")</f>
        <v>0</v>
      </c>
      <c r="H62" s="39">
        <f>SUMIFS(Table5[Expense],Table5[Service Line],"HOSPICE",Table5[Cost Subcategory],"IPU-HOUSEKEEPING",Table5[Month],"JULY")</f>
        <v>0</v>
      </c>
      <c r="I62" s="39">
        <f>SUMIFS(Table5[Expense],Table5[Service Line],"HOSPICE",Table5[Cost Subcategory],"IPU-HOUSEKEEPING",Table5[Month],"AUGUST")</f>
        <v>0</v>
      </c>
      <c r="J62" s="39">
        <f>SUMIFS(Table5[Expense],Table5[Service Line],"HOSPICE",Table5[Cost Subcategory],"IPU-HOUSEKEEPING",Table5[Month],"SEPTEMBER")</f>
        <v>0</v>
      </c>
      <c r="K62" s="39">
        <f>SUMIFS(Table5[Expense],Table5[Service Line],"HOSPICE",Table5[Cost Subcategory],"IPU-HOUSEKEEPING",Table5[Month],"OCTOBER")</f>
        <v>0</v>
      </c>
      <c r="L62" s="39">
        <f>SUMIFS(Table5[Expense],Table5[Service Line],"HOSPICE",Table5[Cost Subcategory],"IPU-HOUSEKEEPING",Table5[Month],"NOVEMBER")</f>
        <v>0</v>
      </c>
      <c r="M62" s="39">
        <f>SUMIFS(Table5[Expense],Table5[Service Line],"HOSPICE",Table5[Cost Subcategory],"IPU-HOUSEKEEPING",Table5[Month],"DECEMBER")</f>
        <v>0</v>
      </c>
      <c r="N62" s="43">
        <f t="shared" si="5"/>
        <v>0</v>
      </c>
      <c r="P62" s="198"/>
    </row>
    <row r="63" spans="1:16" ht="16.5" thickTop="1" thickBot="1" x14ac:dyDescent="0.35">
      <c r="A63" s="31" t="s">
        <v>122</v>
      </c>
      <c r="B63" s="39">
        <f>SUMIFS(Table5[Expense],Table5[Service Line],"HOSPICE",Table5[Cost Subcategory],"IPU-DIETARY",Table5[Month],"JANUARY")</f>
        <v>0</v>
      </c>
      <c r="C63" s="39">
        <f>SUMIFS(Table5[Expense],Table5[Service Line],"HOSPICE",Table5[Cost Subcategory],"IPU-DIETARY",Table5[Month],"FEBRUARY")</f>
        <v>0</v>
      </c>
      <c r="D63" s="39">
        <f>SUMIFS(Table5[Expense],Table5[Service Line],"HOSPICE",Table5[Cost Subcategory],"IPU-DIETARY",Table5[Month],"MARCH")</f>
        <v>0</v>
      </c>
      <c r="E63" s="39">
        <f>SUMIFS(Table5[Expense],Table5[Service Line],"HOSPICE",Table5[Cost Subcategory],"IPU-DIETARY",Table5[Month],"APRIL")</f>
        <v>0</v>
      </c>
      <c r="F63" s="39">
        <f>SUMIFS(Table5[Expense],Table5[Service Line],"HOSPICE",Table5[Cost Subcategory],"IPU-DIETARY",Table5[Month],"MAY")</f>
        <v>0</v>
      </c>
      <c r="G63" s="39">
        <f>SUMIFS(Table5[Expense],Table5[Service Line],"HOSPICE",Table5[Cost Subcategory],"IPU-DIETARY",Table5[Month],"JUNE")</f>
        <v>0</v>
      </c>
      <c r="H63" s="39">
        <f>SUMIFS(Table5[Expense],Table5[Service Line],"HOSPICE",Table5[Cost Subcategory],"IPU-DIETARY",Table5[Month],"JULY")</f>
        <v>0</v>
      </c>
      <c r="I63" s="39">
        <f>SUMIFS(Table5[Expense],Table5[Service Line],"HOSPICE",Table5[Cost Subcategory],"IPU-DIETARY",Table5[Month],"AUGUST")</f>
        <v>0</v>
      </c>
      <c r="J63" s="39">
        <f>SUMIFS(Table5[Expense],Table5[Service Line],"HOSPICE",Table5[Cost Subcategory],"IPU-DIETARY",Table5[Month],"SEPTEMBER")</f>
        <v>0</v>
      </c>
      <c r="K63" s="39">
        <f>SUMIFS(Table5[Expense],Table5[Service Line],"HOSPICE",Table5[Cost Subcategory],"IPU-DIETARY",Table5[Month],"OCTOBER")</f>
        <v>0</v>
      </c>
      <c r="L63" s="39">
        <f>SUMIFS(Table5[Expense],Table5[Service Line],"HOSPICE",Table5[Cost Subcategory],"IPU-DIETARY",Table5[Month],"NOVEMBER")</f>
        <v>0</v>
      </c>
      <c r="M63" s="39">
        <f>SUMIFS(Table5[Expense],Table5[Service Line],"HOSPICE",Table5[Cost Subcategory],"IPU-DIETARY",Table5[Month],"DECEMBER")</f>
        <v>0</v>
      </c>
      <c r="N63" s="43">
        <f t="shared" si="5"/>
        <v>0</v>
      </c>
      <c r="P63" s="198"/>
    </row>
    <row r="64" spans="1:16" ht="16.5" thickTop="1" thickBot="1" x14ac:dyDescent="0.35">
      <c r="A64" s="31" t="s">
        <v>102</v>
      </c>
      <c r="B64" s="39">
        <f>SUMIFS(Table5[Expense],Table5[Service Line],"Hospice",Table5[Cost Subcategory],"JANITORIAL/SECURITY",Table5[Month],"JANUARY")</f>
        <v>0</v>
      </c>
      <c r="C64" s="39">
        <f>SUMIFS(Table5[Expense],Table5[Service Line],"Hospice",Table5[Cost Subcategory],"JANITORIAL/SECURITY",Table5[Month],"FEBRUARY")</f>
        <v>0</v>
      </c>
      <c r="D64" s="39">
        <f>SUMIFS(Table5[Expense],Table5[Service Line],"Hospice",Table5[Cost Subcategory],"JANITORIAL/SECURITY",Table5[Month],"MARCH")</f>
        <v>0</v>
      </c>
      <c r="E64" s="39">
        <f>SUMIFS(Table5[Expense],Table5[Service Line],"Hospice",Table5[Cost Subcategory],"JANITORIAL/SECURITY",Table5[Month],"APRIL")</f>
        <v>0</v>
      </c>
      <c r="F64" s="39">
        <f>SUMIFS(Table5[Expense],Table5[Service Line],"Hospice",Table5[Cost Subcategory],"JANITORIAL/SECURITY",Table5[Month],"MAY")</f>
        <v>0</v>
      </c>
      <c r="G64" s="39">
        <f>SUMIFS(Table5[Expense],Table5[Service Line],"Hospice",Table5[Cost Subcategory],"JANITORIAL/SECURITY",Table5[Month],"JUNE")</f>
        <v>0</v>
      </c>
      <c r="H64" s="39">
        <f>SUMIFS(Table5[Expense],Table5[Service Line],"Hospice",Table5[Cost Subcategory],"JANITORIAL/SECURITY",Table5[Month],"JULY")</f>
        <v>0</v>
      </c>
      <c r="I64" s="39">
        <f>SUMIFS(Table5[Expense],Table5[Service Line],"Hospice",Table5[Cost Subcategory],"JANITORIAL/SECURITY",Table5[Month],"AUGUST")</f>
        <v>0</v>
      </c>
      <c r="J64" s="39">
        <f>SUMIFS(Table5[Expense],Table5[Service Line],"Hospice",Table5[Cost Subcategory],"JANITORIAL/SECURITY",Table5[Month],"SEPTEMBER")</f>
        <v>0</v>
      </c>
      <c r="K64" s="39">
        <f>SUMIFS(Table5[Expense],Table5[Service Line],"Hospice",Table5[Cost Subcategory],"JANITORIAL/SECURITY",Table5[Month],"OCTOBER")</f>
        <v>0</v>
      </c>
      <c r="L64" s="39">
        <f>SUMIFS(Table5[Expense],Table5[Service Line],"Hospice",Table5[Cost Subcategory],"JANITORIAL/SECURITY",Table5[Month],"NOVEMBER")</f>
        <v>0</v>
      </c>
      <c r="M64" s="39">
        <f>SUMIFS(Table5[Expense],Table5[Service Line],"Hospice",Table5[Cost Subcategory],"JANITORIAL/SECURITY",Table5[Month],"DECEMBER")</f>
        <v>0</v>
      </c>
      <c r="N64" s="43">
        <f>SUM(D64:M64)</f>
        <v>0</v>
      </c>
      <c r="P64" s="198"/>
    </row>
    <row r="65" spans="1:16" ht="16.5" thickTop="1" thickBot="1" x14ac:dyDescent="0.35">
      <c r="A65" s="31" t="s">
        <v>119</v>
      </c>
      <c r="B65" s="39">
        <f>SUMIFS(Table5[Expense],Table5[Service Line],"Hospice",Table5[Cost Subcategory],"LAB &amp; DIAGNOSTICS",Table5[Month],"JANUARY")</f>
        <v>0</v>
      </c>
      <c r="C65" s="39">
        <f>SUMIFS(Table5[Expense],Table5[Service Line],"Hospice",Table5[Cost Subcategory],"LAB &amp; DIAGNOSTICS",Table5[Month],"FEBRUARY")</f>
        <v>0</v>
      </c>
      <c r="D65" s="39">
        <f>SUMIFS(Table5[Expense],Table5[Service Line],"Hospice",Table5[Cost Subcategory],"LAB &amp; DIAGNOSTICS",Table5[Month],"MARCH")</f>
        <v>0</v>
      </c>
      <c r="E65" s="39">
        <f>SUMIFS(Table5[Expense],Table5[Service Line],"Hospice",Table5[Cost Subcategory],"LAB &amp; DIAGNOSTICS",Table5[Month],"APRIL")</f>
        <v>0</v>
      </c>
      <c r="F65" s="39">
        <f>SUMIFS(Table5[Expense],Table5[Service Line],"Hospice",Table5[Cost Subcategory],"LAB &amp; DIAGNOSTICS",Table5[Month],"MAY")</f>
        <v>0</v>
      </c>
      <c r="G65" s="39">
        <f>SUMIFS(Table5[Expense],Table5[Service Line],"Hospice",Table5[Cost Subcategory],"LAB &amp; DIAGNOSTICS",Table5[Month],"JUNE")</f>
        <v>0</v>
      </c>
      <c r="H65" s="39">
        <f>SUMIFS(Table5[Expense],Table5[Service Line],"Hospice",Table5[Cost Subcategory],"LAB &amp; DIAGNOSTICS",Table5[Month],"JULY")</f>
        <v>0</v>
      </c>
      <c r="I65" s="39">
        <f>SUMIFS(Table5[Expense],Table5[Service Line],"Hospice",Table5[Cost Subcategory],"LAB &amp; DIAGNOSTICS",Table5[Month],"AUGUST")</f>
        <v>0</v>
      </c>
      <c r="J65" s="39">
        <f>SUMIFS(Table5[Expense],Table5[Service Line],"Hospice",Table5[Cost Subcategory],"LAB &amp; DIAGNOSTICS",Table5[Month],"SEPTEMBER")</f>
        <v>0</v>
      </c>
      <c r="K65" s="39">
        <f>SUMIFS(Table5[Expense],Table5[Service Line],"Hospice",Table5[Cost Subcategory],"LAB &amp; DIAGNOSTICS",Table5[Month],"OCTOBER")</f>
        <v>0</v>
      </c>
      <c r="L65" s="39">
        <f>SUMIFS(Table5[Expense],Table5[Service Line],"Hospice",Table5[Cost Subcategory],"LAB &amp; DIAGNOSTICS",Table5[Month],"NOVEMBER")</f>
        <v>0</v>
      </c>
      <c r="M65" s="39">
        <f>SUMIFS(Table5[Expense],Table5[Service Line],"Hospice",Table5[Cost Subcategory],"LAB &amp; DIAGNOSTICS",Table5[Month],"DECEMBER")</f>
        <v>0</v>
      </c>
      <c r="N65" s="43">
        <f t="shared" si="5"/>
        <v>0</v>
      </c>
      <c r="P65" s="198"/>
    </row>
    <row r="66" spans="1:16" ht="16.5" thickTop="1" thickBot="1" x14ac:dyDescent="0.35">
      <c r="A66" s="31" t="s">
        <v>103</v>
      </c>
      <c r="B66" s="39">
        <f>SUMIFS(Table5[Expense],Table5[Service Line],"Hospice",Table5[Cost Subcategory],"LEASED COPIER",Table5[Month],"JANUARY")</f>
        <v>0</v>
      </c>
      <c r="C66" s="39">
        <f>SUMIFS(Table5[Expense],Table5[Service Line],"Hospice",Table5[Cost Subcategory],"LEASED COPIER",Table5[Month],"FEBRUARY")</f>
        <v>0</v>
      </c>
      <c r="D66" s="39">
        <f>SUMIFS(Table5[Expense],Table5[Service Line],"Hospice",Table5[Cost Subcategory],"LEASED COPIER",Table5[Month],"MARCH")</f>
        <v>0</v>
      </c>
      <c r="E66" s="39">
        <f>SUMIFS(Table5[Expense],Table5[Service Line],"Hospice",Table5[Cost Subcategory],"LEASED COPIER",Table5[Month],"APRIL")</f>
        <v>0</v>
      </c>
      <c r="F66" s="39">
        <f>SUMIFS(Table5[Expense],Table5[Service Line],"Hospice",Table5[Cost Subcategory],"LEASED COPIER",Table5[Month],"MAY")</f>
        <v>0</v>
      </c>
      <c r="G66" s="39">
        <f>SUMIFS(Table5[Expense],Table5[Service Line],"Hospice",Table5[Cost Subcategory],"LEASED COPIER",Table5[Month],"JUNE")</f>
        <v>0</v>
      </c>
      <c r="H66" s="39">
        <f>SUMIFS(Table5[Expense],Table5[Service Line],"Hospice",Table5[Cost Subcategory],"LEASED COPIER",Table5[Month],"JULY")</f>
        <v>0</v>
      </c>
      <c r="I66" s="39">
        <f>SUMIFS(Table5[Expense],Table5[Service Line],"Hospice",Table5[Cost Subcategory],"LEASED COPIER",Table5[Month],"AUGUST")</f>
        <v>0</v>
      </c>
      <c r="J66" s="39">
        <f>SUMIFS(Table5[Expense],Table5[Service Line],"Hospice",Table5[Cost Subcategory],"LEASED COPIER",Table5[Month],"SEPTEMBER")</f>
        <v>0</v>
      </c>
      <c r="K66" s="39">
        <f>SUMIFS(Table5[Expense],Table5[Service Line],"Hospice",Table5[Cost Subcategory],"LEASED COPIER",Table5[Month],"OCTOBER")</f>
        <v>0</v>
      </c>
      <c r="L66" s="39">
        <f>SUMIFS(Table5[Expense],Table5[Service Line],"Hospice",Table5[Cost Subcategory],"LEASED COPIER",Table5[Month],"NOVEMBER")</f>
        <v>0</v>
      </c>
      <c r="M66" s="39">
        <f>SUMIFS(Table5[Expense],Table5[Service Line],"Hospice",Table5[Cost Subcategory],"LEASED COPIER",Table5[Month],"DECEMBER")</f>
        <v>0</v>
      </c>
      <c r="N66" s="43">
        <f t="shared" si="5"/>
        <v>0</v>
      </c>
      <c r="P66" s="198"/>
    </row>
    <row r="67" spans="1:16" ht="16.5" thickTop="1" thickBot="1" x14ac:dyDescent="0.35">
      <c r="A67" s="31" t="s">
        <v>104</v>
      </c>
      <c r="B67" s="39">
        <f>SUMIFS(Table5[Expense],Table5[Service Line],"Hospice",Table5[Cost Subcategory],"LEASED VEHICLES",Table5[Month],"JANUARY")</f>
        <v>0</v>
      </c>
      <c r="C67" s="39">
        <f>SUMIFS(Table5[Expense],Table5[Service Line],"Hospice",Table5[Cost Subcategory],"LEASED VEHICLES",Table5[Month],"FEBRUARY")</f>
        <v>0</v>
      </c>
      <c r="D67" s="39">
        <f>SUMIFS(Table5[Expense],Table5[Service Line],"Hospice",Table5[Cost Subcategory],"LEASED VEHICLES",Table5[Month],"MARCH")</f>
        <v>0</v>
      </c>
      <c r="E67" s="39">
        <f>SUMIFS(Table5[Expense],Table5[Service Line],"Hospice",Table5[Cost Subcategory],"LEASED VEHICLES",Table5[Month],"APRIL")</f>
        <v>0</v>
      </c>
      <c r="F67" s="39">
        <f>SUMIFS(Table5[Expense],Table5[Service Line],"Hospice",Table5[Cost Subcategory],"LEASED VEHICLES",Table5[Month],"MAY")</f>
        <v>0</v>
      </c>
      <c r="G67" s="39">
        <f>SUMIFS(Table5[Expense],Table5[Service Line],"Hospice",Table5[Cost Subcategory],"LEASED VEHICLES",Table5[Month],"JUNE")</f>
        <v>0</v>
      </c>
      <c r="H67" s="39">
        <f>SUMIFS(Table5[Expense],Table5[Service Line],"Hospice",Table5[Cost Subcategory],"LEASED VEHICLES",Table5[Month],"JULY")</f>
        <v>0</v>
      </c>
      <c r="I67" s="39">
        <f>SUMIFS(Table5[Expense],Table5[Service Line],"Hospice",Table5[Cost Subcategory],"LEASED VEHICLES",Table5[Month],"AUGUST")</f>
        <v>0</v>
      </c>
      <c r="J67" s="39">
        <f>SUMIFS(Table5[Expense],Table5[Service Line],"Hospice",Table5[Cost Subcategory],"LEASED VEHICLES",Table5[Month],"SEPTEMBER")</f>
        <v>0</v>
      </c>
      <c r="K67" s="39">
        <f>SUMIFS(Table5[Expense],Table5[Service Line],"Hospice",Table5[Cost Subcategory],"LEASED VEHICLES",Table5[Month],"OCTOBER")</f>
        <v>0</v>
      </c>
      <c r="L67" s="39">
        <f>SUMIFS(Table5[Expense],Table5[Service Line],"Hospice",Table5[Cost Subcategory],"LEASED VEHICLES",Table5[Month],"NOVEMBER")</f>
        <v>0</v>
      </c>
      <c r="M67" s="39">
        <f>SUMIFS(Table5[Expense],Table5[Service Line],"Hospice",Table5[Cost Subcategory],"LEASED VEHICLES",Table5[Month],"DECEMBER")</f>
        <v>0</v>
      </c>
      <c r="N67" s="43">
        <f t="shared" si="5"/>
        <v>0</v>
      </c>
      <c r="P67" s="198"/>
    </row>
    <row r="68" spans="1:16" ht="16.5" thickTop="1" thickBot="1" x14ac:dyDescent="0.35">
      <c r="A68" s="31" t="s">
        <v>61</v>
      </c>
      <c r="B68" s="39">
        <f>SUMIFS(Table5[Expense],Table5[Service Line],"Hospice",Table5[Cost Subcategory],"LICENSE &amp; PERMITS",Table5[Month],"JANUARY")</f>
        <v>0</v>
      </c>
      <c r="C68" s="39">
        <f>SUMIFS(Table5[Expense],Table5[Service Line],"Hospice",Table5[Cost Subcategory],"LICENSE &amp; PERMITS",Table5[Month],"FEBRUARY")</f>
        <v>0</v>
      </c>
      <c r="D68" s="39">
        <f>SUMIFS(Table5[Expense],Table5[Service Line],"Hospice",Table5[Cost Subcategory],"LICENSE &amp; PERMITS",Table5[Month],"MARCH")</f>
        <v>0</v>
      </c>
      <c r="E68" s="39">
        <f>SUMIFS(Table5[Expense],Table5[Service Line],"Hospice",Table5[Cost Subcategory],"LICENSE &amp; PERMITS",Table5[Month],"APRIL")</f>
        <v>0</v>
      </c>
      <c r="F68" s="39">
        <f>SUMIFS(Table5[Expense],Table5[Service Line],"Hospice",Table5[Cost Subcategory],"LICENSE &amp; PERMITS",Table5[Month],"MAY")</f>
        <v>0</v>
      </c>
      <c r="G68" s="39">
        <f>SUMIFS(Table5[Expense],Table5[Service Line],"Hospice",Table5[Cost Subcategory],"LICENSE &amp; PERMITS",Table5[Month],"JUNE")</f>
        <v>0</v>
      </c>
      <c r="H68" s="39">
        <f>SUMIFS(Table5[Expense],Table5[Service Line],"Hospice",Table5[Cost Subcategory],"LICENSE &amp; PERMITS",Table5[Month],"JULY")</f>
        <v>0</v>
      </c>
      <c r="I68" s="39">
        <f>SUMIFS(Table5[Expense],Table5[Service Line],"Hospice",Table5[Cost Subcategory],"LICENSE &amp; PERMITS",Table5[Month],"AUGUST")</f>
        <v>0</v>
      </c>
      <c r="J68" s="39">
        <f>SUMIFS(Table5[Expense],Table5[Service Line],"Hospice",Table5[Cost Subcategory],"LICENSE &amp; PERMITS",Table5[Month],"SEPTEMBER")</f>
        <v>0</v>
      </c>
      <c r="K68" s="39">
        <f>SUMIFS(Table5[Expense],Table5[Service Line],"Hospice",Table5[Cost Subcategory],"LICENSE &amp; PERMITS",Table5[Month],"OCTOBER")</f>
        <v>0</v>
      </c>
      <c r="L68" s="39">
        <f>SUMIFS(Table5[Expense],Table5[Service Line],"Hospice",Table5[Cost Subcategory],"LICENSE &amp; PERMITS",Table5[Month],"NOVEMBER")</f>
        <v>0</v>
      </c>
      <c r="M68" s="39">
        <f>SUMIFS(Table5[Expense],Table5[Service Line],"Hospice",Table5[Cost Subcategory],"LICENSE &amp; PERMITS",Table5[Month],"DECEMBER")</f>
        <v>0</v>
      </c>
      <c r="N68" s="43">
        <f t="shared" si="5"/>
        <v>0</v>
      </c>
      <c r="P68" s="198"/>
    </row>
    <row r="69" spans="1:16" ht="16.5" thickTop="1" thickBot="1" x14ac:dyDescent="0.35">
      <c r="A69" s="31" t="s">
        <v>123</v>
      </c>
      <c r="B69" s="39">
        <f>SUMIFS(Table5[Expense],Table5[Service Line],"Hospice",Table5[Cost Subcategory],"MISC-EMP MORALE",Table5[Month],"JANUARY")</f>
        <v>0</v>
      </c>
      <c r="C69" s="39">
        <f>SUMIFS(Table5[Expense],Table5[Service Line],"Hospice",Table5[Cost Subcategory],"MISC-EMP MORALE",Table5[Month],"FEBRUARY")</f>
        <v>0</v>
      </c>
      <c r="D69" s="39">
        <f>SUMIFS(Table5[Expense],Table5[Service Line],"Hospice",Table5[Cost Subcategory],"MISC-EMP MORALE",Table5[Month],"MARCH")</f>
        <v>0</v>
      </c>
      <c r="E69" s="39">
        <f>SUMIFS(Table5[Expense],Table5[Service Line],"Hospice",Table5[Cost Subcategory],"MISC-EMP MORALE",Table5[Month],"APRIL")</f>
        <v>0</v>
      </c>
      <c r="F69" s="39">
        <f>SUMIFS(Table5[Expense],Table5[Service Line],"Hospice",Table5[Cost Subcategory],"MISC-EMP MORALE",Table5[Month],"MAY")</f>
        <v>0</v>
      </c>
      <c r="G69" s="39">
        <f>SUMIFS(Table5[Expense],Table5[Service Line],"Hospice",Table5[Cost Subcategory],"MISC-EMP MORALE",Table5[Month],"JUNE")</f>
        <v>0</v>
      </c>
      <c r="H69" s="39">
        <f>SUMIFS(Table5[Expense],Table5[Service Line],"Hospice",Table5[Cost Subcategory],"MISC-EMP MORALE",Table5[Month],"JULY")</f>
        <v>0</v>
      </c>
      <c r="I69" s="39">
        <f>SUMIFS(Table5[Expense],Table5[Service Line],"Hospice",Table5[Cost Subcategory],"MISC-EMP MORALE",Table5[Month],"AUGUST")</f>
        <v>0</v>
      </c>
      <c r="J69" s="39">
        <f>SUMIFS(Table5[Expense],Table5[Service Line],"Hospice",Table5[Cost Subcategory],"MISC-EMP MORALE",Table5[Month],"SEPTEMBER")</f>
        <v>0</v>
      </c>
      <c r="K69" s="39">
        <f>SUMIFS(Table5[Expense],Table5[Service Line],"Hospice",Table5[Cost Subcategory],"MISC-EMP MORALE",Table5[Month],"OCTOBER")</f>
        <v>0</v>
      </c>
      <c r="L69" s="39">
        <f>SUMIFS(Table5[Expense],Table5[Service Line],"Hospice",Table5[Cost Subcategory],"MISC-EMP MORALE",Table5[Month],"NOVEMBER")</f>
        <v>0</v>
      </c>
      <c r="M69" s="39">
        <f>SUMIFS(Table5[Expense],Table5[Service Line],"Hospice",Table5[Cost Subcategory],"MISC-EMP MORALE",Table5[Month],"DECEMBER")</f>
        <v>0</v>
      </c>
      <c r="N69" s="43">
        <f t="shared" ref="N69" si="12">SUM(D69:M69)</f>
        <v>0</v>
      </c>
      <c r="P69" s="198"/>
    </row>
    <row r="70" spans="1:16" ht="16.5" thickTop="1" thickBot="1" x14ac:dyDescent="0.35">
      <c r="A70" s="31" t="s">
        <v>60</v>
      </c>
      <c r="B70" s="39">
        <f>SUMIFS(Table5[Expense],Table5[Service Line],"Hospice",Table5[Cost Subcategory],"MISC-USER FEES",Table5[Month],"JANUARY")</f>
        <v>0</v>
      </c>
      <c r="C70" s="39">
        <f>SUMIFS(Table5[Expense],Table5[Service Line],"Hospice",Table5[Cost Subcategory],"MISC-USER FEES",Table5[Month],"FEBRUARY")</f>
        <v>0</v>
      </c>
      <c r="D70" s="39">
        <f>SUMIFS(Table5[Expense],Table5[Service Line],"Hospice",Table5[Cost Subcategory],"MISC-USER FEES",Table5[Month],"MARCH")</f>
        <v>0</v>
      </c>
      <c r="E70" s="39">
        <f>SUMIFS(Table5[Expense],Table5[Service Line],"Hospice",Table5[Cost Subcategory],"MISC-USER FEES",Table5[Month],"APRIL")</f>
        <v>0</v>
      </c>
      <c r="F70" s="39">
        <f>SUMIFS(Table5[Expense],Table5[Service Line],"Hospice",Table5[Cost Subcategory],"MISC-USER FEES",Table5[Month],"MAY")</f>
        <v>0</v>
      </c>
      <c r="G70" s="39">
        <f>SUMIFS(Table5[Expense],Table5[Service Line],"Hospice",Table5[Cost Subcategory],"MISC-USER FEES",Table5[Month],"JUNE")</f>
        <v>0</v>
      </c>
      <c r="H70" s="39">
        <f>SUMIFS(Table5[Expense],Table5[Service Line],"Hospice",Table5[Cost Subcategory],"MISC-USER FEES",Table5[Month],"JULY")</f>
        <v>0</v>
      </c>
      <c r="I70" s="39">
        <f>SUMIFS(Table5[Expense],Table5[Service Line],"Hospice",Table5[Cost Subcategory],"MISC-USER FEES",Table5[Month],"AUGUST")</f>
        <v>0</v>
      </c>
      <c r="J70" s="39">
        <f>SUMIFS(Table5[Expense],Table5[Service Line],"Hospice",Table5[Cost Subcategory],"MISC-USER FEES",Table5[Month],"SEPTEMBER")</f>
        <v>0</v>
      </c>
      <c r="K70" s="39">
        <f>SUMIFS(Table5[Expense],Table5[Service Line],"Hospice",Table5[Cost Subcategory],"MISC-USER FEES",Table5[Month],"OCTOBER")</f>
        <v>0</v>
      </c>
      <c r="L70" s="39">
        <f>SUMIFS(Table5[Expense],Table5[Service Line],"Hospice",Table5[Cost Subcategory],"MISC-USER FEES",Table5[Month],"NOVEMBER")</f>
        <v>0</v>
      </c>
      <c r="M70" s="39">
        <f>SUMIFS(Table5[Expense],Table5[Service Line],"Hospice",Table5[Cost Subcategory],"MISC-USER FEES",Table5[Month],"DECEMBER")</f>
        <v>0</v>
      </c>
      <c r="N70" s="43">
        <f t="shared" si="5"/>
        <v>0</v>
      </c>
      <c r="P70" s="198"/>
    </row>
    <row r="71" spans="1:16" ht="16.5" thickTop="1" thickBot="1" x14ac:dyDescent="0.35">
      <c r="A71" s="31" t="s">
        <v>59</v>
      </c>
      <c r="B71" s="39">
        <f>SUMIFS(Table5[Expense],Table5[Service Line],"Hospice",Table5[Cost Subcategory],"MISCELLANEOUS",Table5[Month],"JANUARY")</f>
        <v>0</v>
      </c>
      <c r="C71" s="39">
        <f>SUMIFS(Table5[Expense],Table5[Service Line],"Hospice",Table5[Cost Subcategory],"MISCELLANEOUS",Table5[Month],"FEBRUARY")</f>
        <v>0</v>
      </c>
      <c r="D71" s="39">
        <f>SUMIFS(Table5[Expense],Table5[Service Line],"Hospice",Table5[Cost Subcategory],"MISCELLANEOUS",Table5[Month],"MARCH")</f>
        <v>0</v>
      </c>
      <c r="E71" s="39">
        <f>SUMIFS(Table5[Expense],Table5[Service Line],"Hospice",Table5[Cost Subcategory],"MISCELLANEOUS",Table5[Month],"APRIL")</f>
        <v>0</v>
      </c>
      <c r="F71" s="39">
        <f>SUMIFS(Table5[Expense],Table5[Service Line],"Hospice",Table5[Cost Subcategory],"MISCELLANEOUS",Table5[Month],"MAY")</f>
        <v>0</v>
      </c>
      <c r="G71" s="39">
        <f>SUMIFS(Table5[Expense],Table5[Service Line],"Hospice",Table5[Cost Subcategory],"MISCELLANEOUS",Table5[Month],"JUNE")</f>
        <v>0</v>
      </c>
      <c r="H71" s="39">
        <f>SUMIFS(Table5[Expense],Table5[Service Line],"Hospice",Table5[Cost Subcategory],"MISCELLANEOUS",Table5[Month],"JULY")</f>
        <v>0</v>
      </c>
      <c r="I71" s="39">
        <f>SUMIFS(Table5[Expense],Table5[Service Line],"Hospice",Table5[Cost Subcategory],"MISCELLANEOUS",Table5[Month],"AUGUST")</f>
        <v>0</v>
      </c>
      <c r="J71" s="39">
        <f>SUMIFS(Table5[Expense],Table5[Service Line],"Hospice",Table5[Cost Subcategory],"MISCELLANEOUS",Table5[Month],"SEPTEMBER")</f>
        <v>0</v>
      </c>
      <c r="K71" s="39">
        <f>SUMIFS(Table5[Expense],Table5[Service Line],"Hospice",Table5[Cost Subcategory],"MISCELLANEOUS",Table5[Month],"OCTOBER")</f>
        <v>0</v>
      </c>
      <c r="L71" s="39">
        <f>SUMIFS(Table5[Expense],Table5[Service Line],"Hospice",Table5[Cost Subcategory],"MISCELLANEOUS",Table5[Month],"NOVEMBER")</f>
        <v>0</v>
      </c>
      <c r="M71" s="39">
        <f>SUMIFS(Table5[Expense],Table5[Service Line],"Hospice",Table5[Cost Subcategory],"MISCELLANEOUS",Table5[Month],"DECEMBER")</f>
        <v>0</v>
      </c>
      <c r="N71" s="43">
        <f t="shared" si="5"/>
        <v>0</v>
      </c>
      <c r="P71" s="198"/>
    </row>
    <row r="72" spans="1:16" ht="16.5" thickTop="1" thickBot="1" x14ac:dyDescent="0.35">
      <c r="A72" s="31" t="s">
        <v>330</v>
      </c>
      <c r="B72" s="39">
        <f>SUMIFS(Table5[Expense],Table5[Service Line],"Hospice",Table5[Cost Subcategory],"NURSING HOME ROOM &amp; BOARD",Table5[Month],"JANUARY")</f>
        <v>0</v>
      </c>
      <c r="C72" s="39">
        <f>SUMIFS(Table5[Expense],Table5[Service Line],"Hospice",Table5[Cost Subcategory],"NURSING HOME ROOM &amp; BOARD",Table5[Month],"FEBRUARY")</f>
        <v>0</v>
      </c>
      <c r="D72" s="39">
        <f>SUMIFS(Table5[Expense],Table5[Service Line],"Hospice",Table5[Cost Subcategory],"NURSING HOME ROOM &amp; BOARD",Table5[Month],"MARCH")</f>
        <v>0</v>
      </c>
      <c r="E72" s="39">
        <f>SUMIFS(Table5[Expense],Table5[Service Line],"Hospice",Table5[Cost Subcategory],"NURSING HOME ROOM &amp; BOARD",Table5[Month],"APRIL")</f>
        <v>0</v>
      </c>
      <c r="F72" s="39">
        <f>SUMIFS(Table5[Expense],Table5[Service Line],"Hospice",Table5[Cost Subcategory],"NURSING HOME ROOM &amp; BOARD",Table5[Month],"MAY")</f>
        <v>0</v>
      </c>
      <c r="G72" s="39">
        <f>SUMIFS(Table5[Expense],Table5[Service Line],"Hospice",Table5[Cost Subcategory],"NURSING HOME ROOM &amp; BOARD",Table5[Month],"JUNE")</f>
        <v>0</v>
      </c>
      <c r="H72" s="39">
        <f>SUMIFS(Table5[Expense],Table5[Service Line],"Hospice",Table5[Cost Subcategory],"NURSING HOME ROOM &amp; BOARD",Table5[Month],"JULY")</f>
        <v>0</v>
      </c>
      <c r="I72" s="39">
        <f>SUMIFS(Table5[Expense],Table5[Service Line],"Hospice",Table5[Cost Subcategory],"NURSING HOME ROOM &amp; BOARD",Table5[Month],"AUGUST")</f>
        <v>0</v>
      </c>
      <c r="J72" s="39">
        <f>SUMIFS(Table5[Expense],Table5[Service Line],"Hospice",Table5[Cost Subcategory],"NURSING HOME ROOM &amp; BOARD",Table5[Month],"SEPTEMBER")</f>
        <v>0</v>
      </c>
      <c r="K72" s="39">
        <f>SUMIFS(Table5[Expense],Table5[Service Line],"Hospice",Table5[Cost Subcategory],"NURSING HOME ROOM &amp; BOARD",Table5[Month],"OCTOBER")</f>
        <v>0</v>
      </c>
      <c r="L72" s="39">
        <f>SUMIFS(Table5[Expense],Table5[Service Line],"Hospice",Table5[Cost Subcategory],"NURSING HOME ROOM &amp; BOARD",Table5[Month],"NOVEMBER")</f>
        <v>0</v>
      </c>
      <c r="M72" s="39">
        <f>SUMIFS(Table5[Expense],Table5[Service Line],"Hospice",Table5[Cost Subcategory],"NURSING HOME ROOM &amp; BOARD",Table5[Month],"DECEMBER")</f>
        <v>0</v>
      </c>
      <c r="N72" s="43">
        <f t="shared" ref="N72" si="13">SUM(D72:M72)</f>
        <v>0</v>
      </c>
      <c r="P72" s="198"/>
    </row>
    <row r="73" spans="1:16" ht="16.5" thickTop="1" thickBot="1" x14ac:dyDescent="0.35">
      <c r="A73" s="31" t="s">
        <v>58</v>
      </c>
      <c r="B73" s="39">
        <f>SUMIFS(Table5[Expense],Table5[Service Line],"Hospice",Table5[Cost Subcategory],"OFFICE SUPPLIES",Table5[Month],"JANUARY")</f>
        <v>0</v>
      </c>
      <c r="C73" s="39">
        <f>SUMIFS(Table5[Expense],Table5[Service Line],"Hospice",Table5[Cost Subcategory],"OFFICE SUPPLIES",Table5[Month],"FEBRUARY")</f>
        <v>0</v>
      </c>
      <c r="D73" s="39">
        <f>SUMIFS(Table5[Expense],Table5[Service Line],"Hospice",Table5[Cost Subcategory],"OFFICE SUPPLIES",Table5[Month],"MARCH")</f>
        <v>0</v>
      </c>
      <c r="E73" s="39">
        <f>SUMIFS(Table5[Expense],Table5[Service Line],"Hospice",Table5[Cost Subcategory],"OFFICE SUPPLIES",Table5[Month],"APRIL")</f>
        <v>0</v>
      </c>
      <c r="F73" s="39">
        <f>SUMIFS(Table5[Expense],Table5[Service Line],"Hospice",Table5[Cost Subcategory],"OFFICE SUPPLIES",Table5[Month],"MAY")</f>
        <v>0</v>
      </c>
      <c r="G73" s="39">
        <f>SUMIFS(Table5[Expense],Table5[Service Line],"Hospice",Table5[Cost Subcategory],"OFFICE SUPPLIES",Table5[Month],"JUNE")</f>
        <v>0</v>
      </c>
      <c r="H73" s="39">
        <f>SUMIFS(Table5[Expense],Table5[Service Line],"Hospice",Table5[Cost Subcategory],"OFFICE SUPPLIES",Table5[Month],"JULY")</f>
        <v>0</v>
      </c>
      <c r="I73" s="39">
        <f>SUMIFS(Table5[Expense],Table5[Service Line],"Hospice",Table5[Cost Subcategory],"OFFICE SUPPLIES",Table5[Month],"AUGUST")</f>
        <v>0</v>
      </c>
      <c r="J73" s="39">
        <f>SUMIFS(Table5[Expense],Table5[Service Line],"Hospice",Table5[Cost Subcategory],"OFFICE SUPPLIES",Table5[Month],"SEPTEMBER")</f>
        <v>0</v>
      </c>
      <c r="K73" s="39">
        <f>SUMIFS(Table5[Expense],Table5[Service Line],"Hospice",Table5[Cost Subcategory],"OFFICE SUPPLIES",Table5[Month],"OCTOBER")</f>
        <v>0</v>
      </c>
      <c r="L73" s="39">
        <f>SUMIFS(Table5[Expense],Table5[Service Line],"Hospice",Table5[Cost Subcategory],"OFFICE SUPPLIES",Table5[Month],"NOVEMBER")</f>
        <v>0</v>
      </c>
      <c r="M73" s="39">
        <f>SUMIFS(Table5[Expense],Table5[Service Line],"Hospice",Table5[Cost Subcategory],"OFFICE SUPPLIES",Table5[Month],"DECEMBER")</f>
        <v>0</v>
      </c>
      <c r="N73" s="43">
        <f t="shared" si="5"/>
        <v>0</v>
      </c>
      <c r="P73" s="198"/>
    </row>
    <row r="74" spans="1:16" ht="16.5" thickTop="1" thickBot="1" x14ac:dyDescent="0.35">
      <c r="A74" s="31" t="s">
        <v>117</v>
      </c>
      <c r="B74" s="39">
        <f>SUMIFS(Table5[Expense],Table5[Service Line],"Hospice",Table5[Cost Subcategory],"PATIENT TRANSPORTATION",Table5[Month],"JANUARY")</f>
        <v>0</v>
      </c>
      <c r="C74" s="39">
        <f>SUMIFS(Table5[Expense],Table5[Service Line],"Hospice",Table5[Cost Subcategory],"PATIENT TRANSPORTATION",Table5[Month],"FEBRUARY")</f>
        <v>0</v>
      </c>
      <c r="D74" s="39">
        <f>SUMIFS(Table5[Expense],Table5[Service Line],"Hospice",Table5[Cost Subcategory],"PATIENT TRANSPORTATION",Table5[Month],"MARCH")</f>
        <v>0</v>
      </c>
      <c r="E74" s="39">
        <f>SUMIFS(Table5[Expense],Table5[Service Line],"Hospice",Table5[Cost Subcategory],"PATIENT TRANSPORTATION",Table5[Month],"APRIL")</f>
        <v>0</v>
      </c>
      <c r="F74" s="39">
        <f>SUMIFS(Table5[Expense],Table5[Service Line],"Hospice",Table5[Cost Subcategory],"PATIENT TRANSPORTATION",Table5[Month],"MAY")</f>
        <v>0</v>
      </c>
      <c r="G74" s="39">
        <f>SUMIFS(Table5[Expense],Table5[Service Line],"Hospice",Table5[Cost Subcategory],"PATIENT TRANSPORTATION",Table5[Month],"JUNE")</f>
        <v>0</v>
      </c>
      <c r="H74" s="39">
        <f>SUMIFS(Table5[Expense],Table5[Service Line],"Hospice",Table5[Cost Subcategory],"PATIENT TRANSPORTATION",Table5[Month],"JULY")</f>
        <v>0</v>
      </c>
      <c r="I74" s="39">
        <f>SUMIFS(Table5[Expense],Table5[Service Line],"Hospice",Table5[Cost Subcategory],"PATIENT TRANSPORTATION",Table5[Month],"AUGUST")</f>
        <v>0</v>
      </c>
      <c r="J74" s="39">
        <f>SUMIFS(Table5[Expense],Table5[Service Line],"Hospice",Table5[Cost Subcategory],"PATIENT TRANSPORTATION",Table5[Month],"SEPTEMBER")</f>
        <v>0</v>
      </c>
      <c r="K74" s="39">
        <f>SUMIFS(Table5[Expense],Table5[Service Line],"Hospice",Table5[Cost Subcategory],"PATIENT TRANSPORTATION",Table5[Month],"OCTOBER")</f>
        <v>0</v>
      </c>
      <c r="L74" s="39">
        <f>SUMIFS(Table5[Expense],Table5[Service Line],"Hospice",Table5[Cost Subcategory],"PATIENT TRANSPORTATION",Table5[Month],"NOVEMBER")</f>
        <v>0</v>
      </c>
      <c r="M74" s="39">
        <f>SUMIFS(Table5[Expense],Table5[Service Line],"Hospice",Table5[Cost Subcategory],"PATIENT TRANSPORTATION",Table5[Month],"DECEMBER")</f>
        <v>0</v>
      </c>
      <c r="N74" s="43">
        <f t="shared" si="5"/>
        <v>0</v>
      </c>
      <c r="P74" s="198"/>
    </row>
    <row r="75" spans="1:16" ht="16.5" thickTop="1" thickBot="1" x14ac:dyDescent="0.35">
      <c r="A75" s="31" t="s">
        <v>57</v>
      </c>
      <c r="B75" s="39">
        <f>SUMIFS(Table5[Expense],Table5[Service Line],"Hospice",Table5[Cost Subcategory],"POSTAGE",Table5[Month],"JANUARY")</f>
        <v>0</v>
      </c>
      <c r="C75" s="39">
        <f>SUMIFS(Table5[Expense],Table5[Service Line],"Hospice",Table5[Cost Subcategory],"POSTAGE",Table5[Month],"FEBRUARY")</f>
        <v>0</v>
      </c>
      <c r="D75" s="39">
        <f>SUMIFS(Table5[Expense],Table5[Service Line],"Hospice",Table5[Cost Subcategory],"POSTAGE",Table5[Month],"MARCH")</f>
        <v>0</v>
      </c>
      <c r="E75" s="39">
        <f>SUMIFS(Table5[Expense],Table5[Service Line],"Hospice",Table5[Cost Subcategory],"POSTAGE",Table5[Month],"APRIL")</f>
        <v>0</v>
      </c>
      <c r="F75" s="39">
        <f>SUMIFS(Table5[Expense],Table5[Service Line],"Hospice",Table5[Cost Subcategory],"POSTAGE",Table5[Month],"MAY")</f>
        <v>0</v>
      </c>
      <c r="G75" s="39">
        <f>SUMIFS(Table5[Expense],Table5[Service Line],"Hospice",Table5[Cost Subcategory],"POSTAGE",Table5[Month],"JUNE")</f>
        <v>0</v>
      </c>
      <c r="H75" s="39">
        <f>SUMIFS(Table5[Expense],Table5[Service Line],"Hospice",Table5[Cost Subcategory],"POSTAGE",Table5[Month],"JULY")</f>
        <v>0</v>
      </c>
      <c r="I75" s="39">
        <f>SUMIFS(Table5[Expense],Table5[Service Line],"Hospice",Table5[Cost Subcategory],"POSTAGE",Table5[Month],"AUGUST")</f>
        <v>0</v>
      </c>
      <c r="J75" s="39">
        <f>SUMIFS(Table5[Expense],Table5[Service Line],"Hospice",Table5[Cost Subcategory],"POSTAGE",Table5[Month],"SEPTEMBER")</f>
        <v>0</v>
      </c>
      <c r="K75" s="39">
        <f>SUMIFS(Table5[Expense],Table5[Service Line],"Hospice",Table5[Cost Subcategory],"POSTAGE",Table5[Month],"OCTOBER")</f>
        <v>0</v>
      </c>
      <c r="L75" s="39">
        <f>SUMIFS(Table5[Expense],Table5[Service Line],"Hospice",Table5[Cost Subcategory],"POSTAGE",Table5[Month],"NOVEMBER")</f>
        <v>0</v>
      </c>
      <c r="M75" s="39">
        <f>SUMIFS(Table5[Expense],Table5[Service Line],"Hospice",Table5[Cost Subcategory],"POSTAGE",Table5[Month],"DECEMBER")</f>
        <v>0</v>
      </c>
      <c r="N75" s="43">
        <f t="shared" si="5"/>
        <v>0</v>
      </c>
      <c r="P75" s="198"/>
    </row>
    <row r="76" spans="1:16" ht="16.5" thickTop="1" thickBot="1" x14ac:dyDescent="0.35">
      <c r="A76" s="31" t="s">
        <v>17</v>
      </c>
      <c r="B76" s="39">
        <f>SUMIFS(Table5[Expense],Table5[Service Line],"Hospice",Table5[Cost Subcategory],"PRINTING EXPENSE",Table5[Month],"JANUARY")</f>
        <v>0</v>
      </c>
      <c r="C76" s="39">
        <f>SUMIFS(Table5[Expense],Table5[Service Line],"Hospice",Table5[Cost Subcategory],"PRINTING EXPENSE",Table5[Month],"FEBRUARY")</f>
        <v>0</v>
      </c>
      <c r="D76" s="39">
        <f>SUMIFS(Table5[Expense],Table5[Service Line],"Hospice",Table5[Cost Subcategory],"PRINTING EXPENSE",Table5[Month],"MARCH")</f>
        <v>0</v>
      </c>
      <c r="E76" s="39">
        <f>SUMIFS(Table5[Expense],Table5[Service Line],"Hospice",Table5[Cost Subcategory],"PRINTING EXPENSE",Table5[Month],"APRIL")</f>
        <v>0</v>
      </c>
      <c r="F76" s="39">
        <f>SUMIFS(Table5[Expense],Table5[Service Line],"Hospice",Table5[Cost Subcategory],"PRINTING EXPENSE",Table5[Month],"MAY")</f>
        <v>0</v>
      </c>
      <c r="G76" s="39">
        <f>SUMIFS(Table5[Expense],Table5[Service Line],"Hospice",Table5[Cost Subcategory],"PRINTING EXPENSE",Table5[Month],"JUNE")</f>
        <v>0</v>
      </c>
      <c r="H76" s="39">
        <f>SUMIFS(Table5[Expense],Table5[Service Line],"Hospice",Table5[Cost Subcategory],"PRINTING EXPENSE",Table5[Month],"JULY")</f>
        <v>0</v>
      </c>
      <c r="I76" s="39">
        <f>SUMIFS(Table5[Expense],Table5[Service Line],"Hospice",Table5[Cost Subcategory],"PRINTING EXPENSE",Table5[Month],"AUGUST")</f>
        <v>0</v>
      </c>
      <c r="J76" s="39">
        <f>SUMIFS(Table5[Expense],Table5[Service Line],"Hospice",Table5[Cost Subcategory],"PRINTING EXPENSE",Table5[Month],"SEPTEMBER")</f>
        <v>0</v>
      </c>
      <c r="K76" s="39">
        <f>SUMIFS(Table5[Expense],Table5[Service Line],"Hospice",Table5[Cost Subcategory],"PRINTING EXPENSE",Table5[Month],"OCTOBER")</f>
        <v>0</v>
      </c>
      <c r="L76" s="39">
        <f>SUMIFS(Table5[Expense],Table5[Service Line],"Hospice",Table5[Cost Subcategory],"PRINTING EXPENSE",Table5[Month],"NOVEMBER")</f>
        <v>0</v>
      </c>
      <c r="M76" s="39">
        <f>SUMIFS(Table5[Expense],Table5[Service Line],"Hospice",Table5[Cost Subcategory],"PRINTING EXPENSE",Table5[Month],"DECEMBER")</f>
        <v>0</v>
      </c>
      <c r="N76" s="43">
        <f t="shared" si="5"/>
        <v>0</v>
      </c>
      <c r="P76" s="198"/>
    </row>
    <row r="77" spans="1:16" ht="16.5" thickTop="1" thickBot="1" x14ac:dyDescent="0.35">
      <c r="A77" s="31" t="s">
        <v>105</v>
      </c>
      <c r="B77" s="39">
        <f>SUMIFS(Table5[Expense],Table5[Service Line],"Hospice",Table5[Cost Subcategory],"PROF FEES-ACCT",Table5[Month],"JANUARY")</f>
        <v>0</v>
      </c>
      <c r="C77" s="39">
        <f>SUMIFS(Table5[Expense],Table5[Service Line],"Hospice",Table5[Cost Subcategory],"PROF FEES-ACCT",Table5[Month],"FEBRUARY")</f>
        <v>0</v>
      </c>
      <c r="D77" s="39">
        <f>SUMIFS(Table5[Expense],Table5[Service Line],"Hospice",Table5[Cost Subcategory],"PROF FEES-ACCT",Table5[Month],"MARCH")</f>
        <v>0</v>
      </c>
      <c r="E77" s="39">
        <f>SUMIFS(Table5[Expense],Table5[Service Line],"Hospice",Table5[Cost Subcategory],"PROF FEES-ACCT",Table5[Month],"APRIL")</f>
        <v>0</v>
      </c>
      <c r="F77" s="39">
        <f>SUMIFS(Table5[Expense],Table5[Service Line],"Hospice",Table5[Cost Subcategory],"PROF FEES-ACCT",Table5[Month],"MAY")</f>
        <v>0</v>
      </c>
      <c r="G77" s="39">
        <f>SUMIFS(Table5[Expense],Table5[Service Line],"Hospice",Table5[Cost Subcategory],"PROF FEES-ACCT",Table5[Month],"JUNE")</f>
        <v>0</v>
      </c>
      <c r="H77" s="39">
        <f>SUMIFS(Table5[Expense],Table5[Service Line],"Hospice",Table5[Cost Subcategory],"PROF FEES-ACCT",Table5[Month],"JULY")</f>
        <v>0</v>
      </c>
      <c r="I77" s="39">
        <f>SUMIFS(Table5[Expense],Table5[Service Line],"Hospice",Table5[Cost Subcategory],"PROF FEES-ACCT",Table5[Month],"AUGUST")</f>
        <v>0</v>
      </c>
      <c r="J77" s="39">
        <f>SUMIFS(Table5[Expense],Table5[Service Line],"Hospice",Table5[Cost Subcategory],"PROF FEES-ACCT",Table5[Month],"SEPTEMBER")</f>
        <v>0</v>
      </c>
      <c r="K77" s="39">
        <f>SUMIFS(Table5[Expense],Table5[Service Line],"Hospice",Table5[Cost Subcategory],"PROF FEES-ACCT",Table5[Month],"OCTOBER")</f>
        <v>0</v>
      </c>
      <c r="L77" s="39">
        <f>SUMIFS(Table5[Expense],Table5[Service Line],"Hospice",Table5[Cost Subcategory],"PROF FEES-ACCT",Table5[Month],"NOVEMBER")</f>
        <v>0</v>
      </c>
      <c r="M77" s="39">
        <f>SUMIFS(Table5[Expense],Table5[Service Line],"Hospice",Table5[Cost Subcategory],"PROF FEES-ACCT",Table5[Month],"DECEMBER")</f>
        <v>0</v>
      </c>
      <c r="N77" s="43">
        <f t="shared" si="5"/>
        <v>0</v>
      </c>
      <c r="P77" s="198"/>
    </row>
    <row r="78" spans="1:16" ht="16.5" thickTop="1" thickBot="1" x14ac:dyDescent="0.35">
      <c r="A78" s="31" t="s">
        <v>106</v>
      </c>
      <c r="B78" s="39">
        <f>SUMIFS(Table5[Expense],Table5[Service Line],"Hospice",Table5[Cost Subcategory],"PROF FEES-CONSULTING",Table5[Month],"JANUARY")</f>
        <v>0</v>
      </c>
      <c r="C78" s="39">
        <f>SUMIFS(Table5[Expense],Table5[Service Line],"Hospice",Table5[Cost Subcategory],"PROF FEES-CONSULTING",Table5[Month],"FEBRUARY")</f>
        <v>0</v>
      </c>
      <c r="D78" s="39">
        <f>SUMIFS(Table5[Expense],Table5[Service Line],"Hospice",Table5[Cost Subcategory],"PROF FEES-CONSULTING",Table5[Month],"MARCH")</f>
        <v>0</v>
      </c>
      <c r="E78" s="39">
        <f>SUMIFS(Table5[Expense],Table5[Service Line],"Hospice",Table5[Cost Subcategory],"PROF FEES-CONSULTING",Table5[Month],"APRIL")</f>
        <v>0</v>
      </c>
      <c r="F78" s="39">
        <f>SUMIFS(Table5[Expense],Table5[Service Line],"Hospice",Table5[Cost Subcategory],"PROF FEES-CONSULTING",Table5[Month],"MAY")</f>
        <v>0</v>
      </c>
      <c r="G78" s="39">
        <f>SUMIFS(Table5[Expense],Table5[Service Line],"Hospice",Table5[Cost Subcategory],"PROF FEES-CONSULTING",Table5[Month],"JUNE")</f>
        <v>0</v>
      </c>
      <c r="H78" s="39">
        <f>SUMIFS(Table5[Expense],Table5[Service Line],"Hospice",Table5[Cost Subcategory],"PROF FEES-CONSULTING",Table5[Month],"JULY")</f>
        <v>0</v>
      </c>
      <c r="I78" s="39">
        <f>SUMIFS(Table5[Expense],Table5[Service Line],"Hospice",Table5[Cost Subcategory],"PROF FEES-CONSULTING",Table5[Month],"AUGUST")</f>
        <v>0</v>
      </c>
      <c r="J78" s="39">
        <f>SUMIFS(Table5[Expense],Table5[Service Line],"Hospice",Table5[Cost Subcategory],"PROF FEES-CONSULTING",Table5[Month],"SEPTEMBER")</f>
        <v>0</v>
      </c>
      <c r="K78" s="39">
        <f>SUMIFS(Table5[Expense],Table5[Service Line],"Hospice",Table5[Cost Subcategory],"PROF FEES-CONSULTING",Table5[Month],"OCTOBER")</f>
        <v>0</v>
      </c>
      <c r="L78" s="39">
        <f>SUMIFS(Table5[Expense],Table5[Service Line],"Hospice",Table5[Cost Subcategory],"PROF FEES-CONSULTING",Table5[Month],"NOVEMBER")</f>
        <v>0</v>
      </c>
      <c r="M78" s="39">
        <f>SUMIFS(Table5[Expense],Table5[Service Line],"Hospice",Table5[Cost Subcategory],"PROF FEES-CONSULTING",Table5[Month],"DECEMBER")</f>
        <v>0</v>
      </c>
      <c r="N78" s="43">
        <f t="shared" si="5"/>
        <v>0</v>
      </c>
      <c r="P78" s="198"/>
    </row>
    <row r="79" spans="1:16" ht="16.5" thickTop="1" thickBot="1" x14ac:dyDescent="0.35">
      <c r="A79" s="31" t="s">
        <v>107</v>
      </c>
      <c r="B79" s="39">
        <f>SUMIFS(Table5[Expense],Table5[Service Line],"Hospice",Table5[Cost Subcategory],"PROF FEES-LEGAL",Table5[Month],"JANUARY")</f>
        <v>0</v>
      </c>
      <c r="C79" s="39">
        <f>SUMIFS(Table5[Expense],Table5[Service Line],"Hospice",Table5[Cost Subcategory],"PROF FEES-LEGAL",Table5[Month],"FEBRUARY")</f>
        <v>0</v>
      </c>
      <c r="D79" s="39">
        <f>SUMIFS(Table5[Expense],Table5[Service Line],"Hospice",Table5[Cost Subcategory],"PROF FEES-LEGAL",Table5[Month],"MARCH")</f>
        <v>0</v>
      </c>
      <c r="E79" s="39">
        <f>SUMIFS(Table5[Expense],Table5[Service Line],"Hospice",Table5[Cost Subcategory],"PROF FEES-LEGAL",Table5[Month],"APRIL")</f>
        <v>0</v>
      </c>
      <c r="F79" s="39">
        <f>SUMIFS(Table5[Expense],Table5[Service Line],"Hospice",Table5[Cost Subcategory],"PROF FEES-LEGAL",Table5[Month],"MAY")</f>
        <v>0</v>
      </c>
      <c r="G79" s="39">
        <f>SUMIFS(Table5[Expense],Table5[Service Line],"Hospice",Table5[Cost Subcategory],"PROF FEES-LEGAL",Table5[Month],"JUNE")</f>
        <v>0</v>
      </c>
      <c r="H79" s="39">
        <f>SUMIFS(Table5[Expense],Table5[Service Line],"Hospice",Table5[Cost Subcategory],"PROF FEES-LEGAL",Table5[Month],"JULY")</f>
        <v>0</v>
      </c>
      <c r="I79" s="39">
        <f>SUMIFS(Table5[Expense],Table5[Service Line],"Hospice",Table5[Cost Subcategory],"PROF FEES-LEGAL",Table5[Month],"AUGUST")</f>
        <v>0</v>
      </c>
      <c r="J79" s="39">
        <f>SUMIFS(Table5[Expense],Table5[Service Line],"Hospice",Table5[Cost Subcategory],"PROF FEES-LEGAL",Table5[Month],"SEPTEMBER")</f>
        <v>0</v>
      </c>
      <c r="K79" s="39">
        <f>SUMIFS(Table5[Expense],Table5[Service Line],"Hospice",Table5[Cost Subcategory],"PROF FEES-LEGAL",Table5[Month],"OCTOBER")</f>
        <v>0</v>
      </c>
      <c r="L79" s="39">
        <f>SUMIFS(Table5[Expense],Table5[Service Line],"Hospice",Table5[Cost Subcategory],"PROF FEES-LEGAL",Table5[Month],"NOVEMBER")</f>
        <v>0</v>
      </c>
      <c r="M79" s="39">
        <f>SUMIFS(Table5[Expense],Table5[Service Line],"Hospice",Table5[Cost Subcategory],"PROF FEES-LEGAL",Table5[Month],"DECEMBER")</f>
        <v>0</v>
      </c>
      <c r="N79" s="43">
        <f t="shared" si="5"/>
        <v>0</v>
      </c>
      <c r="P79" s="198"/>
    </row>
    <row r="80" spans="1:16" ht="16.5" thickTop="1" thickBot="1" x14ac:dyDescent="0.35">
      <c r="A80" s="31" t="s">
        <v>108</v>
      </c>
      <c r="B80" s="39">
        <f>SUMIFS(Table5[Expense],Table5[Service Line],"Hospice",Table5[Cost Subcategory],"PROF FEES-OTHER",Table5[Month],"JANUARY")</f>
        <v>0</v>
      </c>
      <c r="C80" s="39">
        <f>SUMIFS(Table5[Expense],Table5[Service Line],"Hospice",Table5[Cost Subcategory],"PROF FEES-OTHER",Table5[Month],"FEBRUARY")</f>
        <v>0</v>
      </c>
      <c r="D80" s="39">
        <f>SUMIFS(Table5[Expense],Table5[Service Line],"Hospice",Table5[Cost Subcategory],"PROF FEES-OTHER",Table5[Month],"MARCH")</f>
        <v>0</v>
      </c>
      <c r="E80" s="39">
        <f>SUMIFS(Table5[Expense],Table5[Service Line],"Hospice",Table5[Cost Subcategory],"PROF FEES-OTHER",Table5[Month],"APRIL")</f>
        <v>0</v>
      </c>
      <c r="F80" s="39">
        <f>SUMIFS(Table5[Expense],Table5[Service Line],"Hospice",Table5[Cost Subcategory],"PROF FEES-OTHER",Table5[Month],"MAY")</f>
        <v>0</v>
      </c>
      <c r="G80" s="39">
        <f>SUMIFS(Table5[Expense],Table5[Service Line],"Hospice",Table5[Cost Subcategory],"PROF FEES-OTHER",Table5[Month],"JUNE")</f>
        <v>0</v>
      </c>
      <c r="H80" s="39">
        <f>SUMIFS(Table5[Expense],Table5[Service Line],"Hospice",Table5[Cost Subcategory],"PROF FEES-OTHER",Table5[Month],"JULY")</f>
        <v>0</v>
      </c>
      <c r="I80" s="39">
        <f>SUMIFS(Table5[Expense],Table5[Service Line],"Hospice",Table5[Cost Subcategory],"PROF FEES-OTHER",Table5[Month],"AUGUST")</f>
        <v>0</v>
      </c>
      <c r="J80" s="39">
        <f>SUMIFS(Table5[Expense],Table5[Service Line],"Hospice",Table5[Cost Subcategory],"PROF FEES-OTHER",Table5[Month],"SEPTEMBER")</f>
        <v>0</v>
      </c>
      <c r="K80" s="39">
        <f>SUMIFS(Table5[Expense],Table5[Service Line],"Hospice",Table5[Cost Subcategory],"PROF FEES-OTHER",Table5[Month],"OCTOBER")</f>
        <v>0</v>
      </c>
      <c r="L80" s="39">
        <f>SUMIFS(Table5[Expense],Table5[Service Line],"Hospice",Table5[Cost Subcategory],"PROF FEES-OTHER",Table5[Month],"NOVEMBER")</f>
        <v>0</v>
      </c>
      <c r="M80" s="39">
        <f>SUMIFS(Table5[Expense],Table5[Service Line],"Hospice",Table5[Cost Subcategory],"PROF FEES-OTHER",Table5[Month],"DECEMBER")</f>
        <v>0</v>
      </c>
      <c r="N80" s="43">
        <f t="shared" si="5"/>
        <v>0</v>
      </c>
      <c r="P80" s="198"/>
    </row>
    <row r="81" spans="1:16" ht="16.5" thickTop="1" thickBot="1" x14ac:dyDescent="0.35">
      <c r="A81" s="31" t="s">
        <v>109</v>
      </c>
      <c r="B81" s="39">
        <f>SUMIFS(Table5[Expense],Table5[Service Line],"Hospice",Table5[Cost Subcategory],"RENT",Table5[Month],"JANUARY")</f>
        <v>0</v>
      </c>
      <c r="C81" s="39">
        <f>SUMIFS(Table5[Expense],Table5[Service Line],"Hospice",Table5[Cost Subcategory],"RENT",Table5[Month],"FEBRUARY")</f>
        <v>0</v>
      </c>
      <c r="D81" s="39">
        <f>SUMIFS(Table5[Expense],Table5[Service Line],"Hospice",Table5[Cost Subcategory],"RENT",Table5[Month],"MARCH")</f>
        <v>0</v>
      </c>
      <c r="E81" s="39">
        <f>SUMIFS(Table5[Expense],Table5[Service Line],"Hospice",Table5[Cost Subcategory],"RENT",Table5[Month],"APRIL")</f>
        <v>0</v>
      </c>
      <c r="F81" s="39">
        <f>SUMIFS(Table5[Expense],Table5[Service Line],"Hospice",Table5[Cost Subcategory],"RENT",Table5[Month],"MAY")</f>
        <v>0</v>
      </c>
      <c r="G81" s="39">
        <f>SUMIFS(Table5[Expense],Table5[Service Line],"Hospice",Table5[Cost Subcategory],"RENT",Table5[Month],"JUNE")</f>
        <v>0</v>
      </c>
      <c r="H81" s="39">
        <f>SUMIFS(Table5[Expense],Table5[Service Line],"Hospice",Table5[Cost Subcategory],"RENT",Table5[Month],"JULY")</f>
        <v>0</v>
      </c>
      <c r="I81" s="39">
        <f>SUMIFS(Table5[Expense],Table5[Service Line],"Hospice",Table5[Cost Subcategory],"RENT",Table5[Month],"AUGUST")</f>
        <v>0</v>
      </c>
      <c r="J81" s="39">
        <f>SUMIFS(Table5[Expense],Table5[Service Line],"Hospice",Table5[Cost Subcategory],"RENT",Table5[Month],"SEPTEMBER")</f>
        <v>0</v>
      </c>
      <c r="K81" s="39">
        <f>SUMIFS(Table5[Expense],Table5[Service Line],"Hospice",Table5[Cost Subcategory],"RENT",Table5[Month],"OCTOBER")</f>
        <v>0</v>
      </c>
      <c r="L81" s="39">
        <f>SUMIFS(Table5[Expense],Table5[Service Line],"Hospice",Table5[Cost Subcategory],"RENT",Table5[Month],"NOVEMBER")</f>
        <v>0</v>
      </c>
      <c r="M81" s="39">
        <f>SUMIFS(Table5[Expense],Table5[Service Line],"Hospice",Table5[Cost Subcategory],"RENT",Table5[Month],"DECEMBER")</f>
        <v>0</v>
      </c>
      <c r="N81" s="43">
        <f t="shared" si="5"/>
        <v>0</v>
      </c>
      <c r="P81" s="198"/>
    </row>
    <row r="82" spans="1:16" ht="16.5" thickTop="1" thickBot="1" x14ac:dyDescent="0.35">
      <c r="A82" s="31" t="s">
        <v>110</v>
      </c>
      <c r="B82" s="39">
        <f>SUMIFS(Table5[Expense],Table5[Service Line],"Hospice",Table5[Cost Subcategory],"REPAIRS/MAINTENANCE",Table5[Month],"JANUARY")</f>
        <v>0</v>
      </c>
      <c r="C82" s="39">
        <f>SUMIFS(Table5[Expense],Table5[Service Line],"Hospice",Table5[Cost Subcategory],"REPAIRS/MAINTENANCE",Table5[Month],"FEBRUARY")</f>
        <v>0</v>
      </c>
      <c r="D82" s="39">
        <f>SUMIFS(Table5[Expense],Table5[Service Line],"Hospice",Table5[Cost Subcategory],"REPAIRS/MAINTENANCE",Table5[Month],"MARCH")</f>
        <v>0</v>
      </c>
      <c r="E82" s="39">
        <f>SUMIFS(Table5[Expense],Table5[Service Line],"Hospice",Table5[Cost Subcategory],"REPAIRS/MAINTENANCE",Table5[Month],"APRIL")</f>
        <v>0</v>
      </c>
      <c r="F82" s="39">
        <f>SUMIFS(Table5[Expense],Table5[Service Line],"Hospice",Table5[Cost Subcategory],"REPAIRS/MAINTENANCE",Table5[Month],"MAY")</f>
        <v>0</v>
      </c>
      <c r="G82" s="39">
        <f>SUMIFS(Table5[Expense],Table5[Service Line],"Hospice",Table5[Cost Subcategory],"REPAIRS/MAINTENANCE",Table5[Month],"JUNE")</f>
        <v>0</v>
      </c>
      <c r="H82" s="39">
        <f>SUMIFS(Table5[Expense],Table5[Service Line],"Hospice",Table5[Cost Subcategory],"REPAIRS/MAINTENANCE",Table5[Month],"JULY")</f>
        <v>0</v>
      </c>
      <c r="I82" s="39">
        <f>SUMIFS(Table5[Expense],Table5[Service Line],"Hospice",Table5[Cost Subcategory],"REPAIRS/MAINTENANCE",Table5[Month],"AUGUST")</f>
        <v>0</v>
      </c>
      <c r="J82" s="39">
        <f>SUMIFS(Table5[Expense],Table5[Service Line],"Hospice",Table5[Cost Subcategory],"REPAIRS/MAINTENANCE",Table5[Month],"SEPTEMBER")</f>
        <v>0</v>
      </c>
      <c r="K82" s="39">
        <f>SUMIFS(Table5[Expense],Table5[Service Line],"Hospice",Table5[Cost Subcategory],"REPAIRS/MAINTENANCE",Table5[Month],"OCTOBER")</f>
        <v>0</v>
      </c>
      <c r="L82" s="39">
        <f>SUMIFS(Table5[Expense],Table5[Service Line],"Hospice",Table5[Cost Subcategory],"REPAIRS/MAINTENANCE",Table5[Month],"NOVEMBER")</f>
        <v>0</v>
      </c>
      <c r="M82" s="39">
        <f>SUMIFS(Table5[Expense],Table5[Service Line],"Hospice",Table5[Cost Subcategory],"REPAIRS/MAINTENANCE",Table5[Month],"DECEMBER")</f>
        <v>0</v>
      </c>
      <c r="N82" s="43">
        <f t="shared" si="5"/>
        <v>0</v>
      </c>
      <c r="P82" s="198"/>
    </row>
    <row r="83" spans="1:16" ht="16.5" thickTop="1" thickBot="1" x14ac:dyDescent="0.35">
      <c r="A83" s="31" t="s">
        <v>56</v>
      </c>
      <c r="B83" s="39">
        <f>SUMIFS(Table5[Expense],Table5[Service Line],"Hospice",Table5[Cost Subcategory],"STORAGE",Table5[Month],"JANUARY")</f>
        <v>0</v>
      </c>
      <c r="C83" s="39">
        <f>SUMIFS(Table5[Expense],Table5[Service Line],"Hospice",Table5[Cost Subcategory],"STORAGE",Table5[Month],"FEBRUARY")</f>
        <v>0</v>
      </c>
      <c r="D83" s="39">
        <f>SUMIFS(Table5[Expense],Table5[Service Line],"Hospice",Table5[Cost Subcategory],"STORAGE",Table5[Month],"MARCH")</f>
        <v>0</v>
      </c>
      <c r="E83" s="39">
        <f>SUMIFS(Table5[Expense],Table5[Service Line],"Hospice",Table5[Cost Subcategory],"STORAGE",Table5[Month],"APRIL")</f>
        <v>0</v>
      </c>
      <c r="F83" s="39">
        <f>SUMIFS(Table5[Expense],Table5[Service Line],"Hospice",Table5[Cost Subcategory],"STORAGE",Table5[Month],"MAY")</f>
        <v>0</v>
      </c>
      <c r="G83" s="39">
        <f>SUMIFS(Table5[Expense],Table5[Service Line],"Hospice",Table5[Cost Subcategory],"STORAGE",Table5[Month],"JUNE")</f>
        <v>0</v>
      </c>
      <c r="H83" s="39">
        <f>SUMIFS(Table5[Expense],Table5[Service Line],"Hospice",Table5[Cost Subcategory],"STORAGE",Table5[Month],"JULY")</f>
        <v>0</v>
      </c>
      <c r="I83" s="39">
        <f>SUMIFS(Table5[Expense],Table5[Service Line],"Hospice",Table5[Cost Subcategory],"STORAGE",Table5[Month],"AUGUST")</f>
        <v>0</v>
      </c>
      <c r="J83" s="39">
        <f>SUMIFS(Table5[Expense],Table5[Service Line],"Hospice",Table5[Cost Subcategory],"STORAGE",Table5[Month],"SEPTEMBER")</f>
        <v>0</v>
      </c>
      <c r="K83" s="39">
        <f>SUMIFS(Table5[Expense],Table5[Service Line],"Hospice",Table5[Cost Subcategory],"STORAGE",Table5[Month],"OCTOBER")</f>
        <v>0</v>
      </c>
      <c r="L83" s="39">
        <f>SUMIFS(Table5[Expense],Table5[Service Line],"Hospice",Table5[Cost Subcategory],"STORAGE",Table5[Month],"NOVEMBER")</f>
        <v>0</v>
      </c>
      <c r="M83" s="39">
        <f>SUMIFS(Table5[Expense],Table5[Service Line],"Hospice",Table5[Cost Subcategory],"STORAGE",Table5[Month],"DECEMBER")</f>
        <v>0</v>
      </c>
      <c r="N83" s="43">
        <f t="shared" si="5"/>
        <v>0</v>
      </c>
      <c r="P83" s="198"/>
    </row>
    <row r="84" spans="1:16" ht="16.5" thickTop="1" thickBot="1" x14ac:dyDescent="0.35">
      <c r="A84" s="31" t="s">
        <v>131</v>
      </c>
      <c r="B84" s="39">
        <f>SUMIFS(Table5[Expense],Table5[Service Line],"Hospice",Table5[Cost Subcategory],"TECHNOLOGY",Table5[Month],"JANUARY")</f>
        <v>0</v>
      </c>
      <c r="C84" s="39">
        <f>SUMIFS(Table5[Expense],Table5[Service Line],"Hospice",Table5[Cost Subcategory],"TECHNOLOGY",Table5[Month],"FEBRUARY")</f>
        <v>0</v>
      </c>
      <c r="D84" s="39">
        <f>SUMIFS(Table5[Expense],Table5[Service Line],"Hospice",Table5[Cost Subcategory],"TECHNOLOGY",Table5[Month],"MARCH")</f>
        <v>0</v>
      </c>
      <c r="E84" s="39">
        <f>SUMIFS(Table5[Expense],Table5[Service Line],"Hospice",Table5[Cost Subcategory],"TECHNOLOGY",Table5[Month],"APRIL")</f>
        <v>0</v>
      </c>
      <c r="F84" s="39">
        <f>SUMIFS(Table5[Expense],Table5[Service Line],"Hospice",Table5[Cost Subcategory],"TECHNOLOGY",Table5[Month],"MAY")</f>
        <v>0</v>
      </c>
      <c r="G84" s="39">
        <f>SUMIFS(Table5[Expense],Table5[Service Line],"Hospice",Table5[Cost Subcategory],"TECHNOLOGY",Table5[Month],"JUNE")</f>
        <v>0</v>
      </c>
      <c r="H84" s="39">
        <f>SUMIFS(Table5[Expense],Table5[Service Line],"Hospice",Table5[Cost Subcategory],"TECHNOLOGY",Table5[Month],"JULY")</f>
        <v>0</v>
      </c>
      <c r="I84" s="39">
        <f>SUMIFS(Table5[Expense],Table5[Service Line],"Hospice",Table5[Cost Subcategory],"TECHNOLOGY",Table5[Month],"AUGUST")</f>
        <v>0</v>
      </c>
      <c r="J84" s="39">
        <f>SUMIFS(Table5[Expense],Table5[Service Line],"Hospice",Table5[Cost Subcategory],"TECHNOLOGY",Table5[Month],"SEPTEMBER")</f>
        <v>0</v>
      </c>
      <c r="K84" s="39">
        <f>SUMIFS(Table5[Expense],Table5[Service Line],"Hospice",Table5[Cost Subcategory],"TECHNOLOGY",Table5[Month],"OCTOBER")</f>
        <v>0</v>
      </c>
      <c r="L84" s="39">
        <f>SUMIFS(Table5[Expense],Table5[Service Line],"Hospice",Table5[Cost Subcategory],"TECHNOLOGY",Table5[Month],"NOVEMBER")</f>
        <v>0</v>
      </c>
      <c r="M84" s="39">
        <f>SUMIFS(Table5[Expense],Table5[Service Line],"Hospice",Table5[Cost Subcategory],"TECHNOLOGY",Table5[Month],"DECEMBER")</f>
        <v>0</v>
      </c>
      <c r="N84" s="43">
        <f>SUM(D84:M84)</f>
        <v>0</v>
      </c>
      <c r="P84" s="198"/>
    </row>
    <row r="85" spans="1:16" ht="16.5" thickTop="1" thickBot="1" x14ac:dyDescent="0.35">
      <c r="A85" s="31" t="s">
        <v>115</v>
      </c>
      <c r="B85" s="39">
        <f>SUMIFS(Table5[Expense],Table5[Service Line],"Hospice",Table5[Cost Subcategory],"TELEHEALTH/TELEMEDICINE",Table5[Month],"JANUARY")</f>
        <v>0</v>
      </c>
      <c r="C85" s="39">
        <f>SUMIFS(Table5[Expense],Table5[Service Line],"Hospice",Table5[Cost Subcategory],"TELEHEALTH/TELEMEDICINE",Table5[Month],"FEBRUARY")</f>
        <v>0</v>
      </c>
      <c r="D85" s="39">
        <f>SUMIFS(Table5[Expense],Table5[Service Line],"Hospice",Table5[Cost Subcategory],"TELEHEALTH/TELEMEDICINE",Table5[Month],"MARCH")</f>
        <v>0</v>
      </c>
      <c r="E85" s="39">
        <f>SUMIFS(Table5[Expense],Table5[Service Line],"Hospice",Table5[Cost Subcategory],"TELEHEALTH/TELEMEDICINE",Table5[Month],"APRIL")</f>
        <v>0</v>
      </c>
      <c r="F85" s="39">
        <f>SUMIFS(Table5[Expense],Table5[Service Line],"Hospice",Table5[Cost Subcategory],"TELEHEALTH/TELEMEDICINE",Table5[Month],"MAY")</f>
        <v>0</v>
      </c>
      <c r="G85" s="39">
        <f>SUMIFS(Table5[Expense],Table5[Service Line],"Hospice",Table5[Cost Subcategory],"TELEHEALTH/TELEMEDICINE",Table5[Month],"JUNE")</f>
        <v>0</v>
      </c>
      <c r="H85" s="39">
        <f>SUMIFS(Table5[Expense],Table5[Service Line],"Hospice",Table5[Cost Subcategory],"TELEHEALTH/TELEMEDICINE",Table5[Month],"JULY")</f>
        <v>0</v>
      </c>
      <c r="I85" s="39">
        <f>SUMIFS(Table5[Expense],Table5[Service Line],"Hospice",Table5[Cost Subcategory],"TELEHEALTH/TELEMEDICINE",Table5[Month],"AUGUST")</f>
        <v>0</v>
      </c>
      <c r="J85" s="39">
        <f>SUMIFS(Table5[Expense],Table5[Service Line],"Hospice",Table5[Cost Subcategory],"TELEHEALTH/TELEMEDICINE",Table5[Month],"SEPTEMBER")</f>
        <v>0</v>
      </c>
      <c r="K85" s="39">
        <f>SUMIFS(Table5[Expense],Table5[Service Line],"Hospice",Table5[Cost Subcategory],"TELEHEALTH/TELEMEDICINE",Table5[Month],"OCTOBER")</f>
        <v>0</v>
      </c>
      <c r="L85" s="39">
        <f>SUMIFS(Table5[Expense],Table5[Service Line],"Hospice",Table5[Cost Subcategory],"TELEHEALTH/TELEMEDICINE",Table5[Month],"NOVEMBER")</f>
        <v>0</v>
      </c>
      <c r="M85" s="39">
        <f>SUMIFS(Table5[Expense],Table5[Service Line],"Hospice",Table5[Cost Subcategory],"TELEHEALTH/TELEMEDICINE",Table5[Month],"DECEMBER")</f>
        <v>0</v>
      </c>
      <c r="N85" s="43">
        <f t="shared" si="5"/>
        <v>0</v>
      </c>
      <c r="P85" s="198"/>
    </row>
    <row r="86" spans="1:16" ht="16.5" thickTop="1" thickBot="1" x14ac:dyDescent="0.35">
      <c r="A86" s="31" t="s">
        <v>111</v>
      </c>
      <c r="B86" s="39">
        <f>SUMIFS(Table5[Expense],Table5[Service Line],"Hospice",Table5[Cost Subcategory],"TELEPHONE-MOBILE",Table5[Month],"JANUARY")</f>
        <v>0</v>
      </c>
      <c r="C86" s="39">
        <f>SUMIFS(Table5[Expense],Table5[Service Line],"Hospice",Table5[Cost Subcategory],"TELEPHONE-MOBILE",Table5[Month],"FEBRUARY")</f>
        <v>0</v>
      </c>
      <c r="D86" s="39">
        <f>SUMIFS(Table5[Expense],Table5[Service Line],"Hospice",Table5[Cost Subcategory],"TELEPHONE-MOBILE",Table5[Month],"MARCH")</f>
        <v>0</v>
      </c>
      <c r="E86" s="39">
        <f>SUMIFS(Table5[Expense],Table5[Service Line],"Hospice",Table5[Cost Subcategory],"TELEPHONE-MOBILE",Table5[Month],"APRIL")</f>
        <v>0</v>
      </c>
      <c r="F86" s="39">
        <f>SUMIFS(Table5[Expense],Table5[Service Line],"Hospice",Table5[Cost Subcategory],"TELEPHONE-MOBILE",Table5[Month],"MAY")</f>
        <v>0</v>
      </c>
      <c r="G86" s="39">
        <f>SUMIFS(Table5[Expense],Table5[Service Line],"Hospice",Table5[Cost Subcategory],"TELEPHONE-MOBILE",Table5[Month],"JUNE")</f>
        <v>0</v>
      </c>
      <c r="H86" s="39">
        <f>SUMIFS(Table5[Expense],Table5[Service Line],"Hospice",Table5[Cost Subcategory],"TELEPHONE-MOBILE",Table5[Month],"JULY")</f>
        <v>0</v>
      </c>
      <c r="I86" s="39">
        <f>SUMIFS(Table5[Expense],Table5[Service Line],"Hospice",Table5[Cost Subcategory],"TELEPHONE-MOBILE",Table5[Month],"AUGUST")</f>
        <v>0</v>
      </c>
      <c r="J86" s="39">
        <f>SUMIFS(Table5[Expense],Table5[Service Line],"Hospice",Table5[Cost Subcategory],"TELEPHONE-MOBILE",Table5[Month],"SEPTEMBER")</f>
        <v>0</v>
      </c>
      <c r="K86" s="39">
        <f>SUMIFS(Table5[Expense],Table5[Service Line],"Hospice",Table5[Cost Subcategory],"TELEPHONE-MOBILE",Table5[Month],"OCTOBER")</f>
        <v>0</v>
      </c>
      <c r="L86" s="39">
        <f>SUMIFS(Table5[Expense],Table5[Service Line],"Hospice",Table5[Cost Subcategory],"TELEPHONE-MOBILE",Table5[Month],"NOVEMBER")</f>
        <v>0</v>
      </c>
      <c r="M86" s="39">
        <f>SUMIFS(Table5[Expense],Table5[Service Line],"Hospice",Table5[Cost Subcategory],"TELEPHONE-MOBILE",Table5[Month],"DECEMBER")</f>
        <v>0</v>
      </c>
      <c r="N86" s="43">
        <f t="shared" si="5"/>
        <v>0</v>
      </c>
      <c r="P86" s="198"/>
    </row>
    <row r="87" spans="1:16" ht="16.5" thickTop="1" thickBot="1" x14ac:dyDescent="0.35">
      <c r="A87" s="31" t="s">
        <v>112</v>
      </c>
      <c r="B87" s="39">
        <f>SUMIFS(Table5[Expense],Table5[Service Line],"Hospice",Table5[Cost Subcategory],"TELEPHONE-OFFICE",Table5[Month],"JANUARY")</f>
        <v>0</v>
      </c>
      <c r="C87" s="39">
        <f>SUMIFS(Table5[Expense],Table5[Service Line],"Hospice",Table5[Cost Subcategory],"TELEPHONE-OFFICE",Table5[Month],"FEBRUARY")</f>
        <v>0</v>
      </c>
      <c r="D87" s="39">
        <f>SUMIFS(Table5[Expense],Table5[Service Line],"Hospice",Table5[Cost Subcategory],"TELEPHONE-OFFICE",Table5[Month],"MARCH")</f>
        <v>0</v>
      </c>
      <c r="E87" s="39">
        <f>SUMIFS(Table5[Expense],Table5[Service Line],"Hospice",Table5[Cost Subcategory],"TELEPHONE-OFFICE",Table5[Month],"APRIL")</f>
        <v>0</v>
      </c>
      <c r="F87" s="39">
        <f>SUMIFS(Table5[Expense],Table5[Service Line],"Hospice",Table5[Cost Subcategory],"TELEPHONE-OFFICE",Table5[Month],"MAY")</f>
        <v>0</v>
      </c>
      <c r="G87" s="39">
        <f>SUMIFS(Table5[Expense],Table5[Service Line],"Hospice",Table5[Cost Subcategory],"TELEPHONE-OFFICE",Table5[Month],"JUNE")</f>
        <v>0</v>
      </c>
      <c r="H87" s="39">
        <f>SUMIFS(Table5[Expense],Table5[Service Line],"Hospice",Table5[Cost Subcategory],"TELEPHONE-OFFICE",Table5[Month],"JULY")</f>
        <v>0</v>
      </c>
      <c r="I87" s="39">
        <f>SUMIFS(Table5[Expense],Table5[Service Line],"Hospice",Table5[Cost Subcategory],"TELEPHONE-OFFICE",Table5[Month],"AUGUST")</f>
        <v>0</v>
      </c>
      <c r="J87" s="39">
        <f>SUMIFS(Table5[Expense],Table5[Service Line],"Hospice",Table5[Cost Subcategory],"TELEPHONE-OFFICE",Table5[Month],"SEPTEMBER")</f>
        <v>0</v>
      </c>
      <c r="K87" s="39">
        <f>SUMIFS(Table5[Expense],Table5[Service Line],"Hospice",Table5[Cost Subcategory],"TELEPHONE-OFFICE",Table5[Month],"OCTOBER")</f>
        <v>0</v>
      </c>
      <c r="L87" s="39">
        <f>SUMIFS(Table5[Expense],Table5[Service Line],"Hospice",Table5[Cost Subcategory],"TELEPHONE-OFFICE",Table5[Month],"NOVEMBER")</f>
        <v>0</v>
      </c>
      <c r="M87" s="39">
        <f>SUMIFS(Table5[Expense],Table5[Service Line],"Hospice",Table5[Cost Subcategory],"TELEPHONE-OFFICE",Table5[Month],"DECEMBER")</f>
        <v>0</v>
      </c>
      <c r="N87" s="43">
        <f t="shared" si="5"/>
        <v>0</v>
      </c>
      <c r="P87" s="198"/>
    </row>
    <row r="88" spans="1:16" ht="16.5" thickTop="1" thickBot="1" x14ac:dyDescent="0.35">
      <c r="A88" s="31" t="s">
        <v>113</v>
      </c>
      <c r="B88" s="39">
        <f>SUMIFS(Table5[Expense],Table5[Service Line],"Hospice",Table5[Cost Subcategory],"UTILITIES",Table5[Month],"JANUARY")</f>
        <v>0</v>
      </c>
      <c r="C88" s="39">
        <f>SUMIFS(Table5[Expense],Table5[Service Line],"Hospice",Table5[Cost Subcategory],"UTILITIES",Table5[Month],"FEBRUARY")</f>
        <v>0</v>
      </c>
      <c r="D88" s="39">
        <f>SUMIFS(Table5[Expense],Table5[Service Line],"Hospice",Table5[Cost Subcategory],"UTILITIES",Table5[Month],"MARCH")</f>
        <v>0</v>
      </c>
      <c r="E88" s="39">
        <f>SUMIFS(Table5[Expense],Table5[Service Line],"Hospice",Table5[Cost Subcategory],"UTILITIES",Table5[Month],"APRIL")</f>
        <v>0</v>
      </c>
      <c r="F88" s="39">
        <f>SUMIFS(Table5[Expense],Table5[Service Line],"Hospice",Table5[Cost Subcategory],"UTILITIES",Table5[Month],"MAY")</f>
        <v>0</v>
      </c>
      <c r="G88" s="39">
        <f>SUMIFS(Table5[Expense],Table5[Service Line],"Hospice",Table5[Cost Subcategory],"UTILITIES",Table5[Month],"JUNE")</f>
        <v>0</v>
      </c>
      <c r="H88" s="39">
        <f>SUMIFS(Table5[Expense],Table5[Service Line],"Hospice",Table5[Cost Subcategory],"UTILITIES",Table5[Month],"JULY")</f>
        <v>0</v>
      </c>
      <c r="I88" s="39">
        <f>SUMIFS(Table5[Expense],Table5[Service Line],"Hospice",Table5[Cost Subcategory],"UTILITIES",Table5[Month],"AUGUST")</f>
        <v>0</v>
      </c>
      <c r="J88" s="39">
        <f>SUMIFS(Table5[Expense],Table5[Service Line],"Hospice",Table5[Cost Subcategory],"UTILITIES",Table5[Month],"SEPTEMBER")</f>
        <v>0</v>
      </c>
      <c r="K88" s="39">
        <f>SUMIFS(Table5[Expense],Table5[Service Line],"Hospice",Table5[Cost Subcategory],"UTILITIES",Table5[Month],"OCTOBER")</f>
        <v>0</v>
      </c>
      <c r="L88" s="39">
        <f>SUMIFS(Table5[Expense],Table5[Service Line],"Hospice",Table5[Cost Subcategory],"UTILITIES",Table5[Month],"NOVEMBER")</f>
        <v>0</v>
      </c>
      <c r="M88" s="39">
        <f>SUMIFS(Table5[Expense],Table5[Service Line],"Hospice",Table5[Cost Subcategory],"UTILITIES",Table5[Month],"DECEMBER")</f>
        <v>0</v>
      </c>
      <c r="N88" s="43">
        <f t="shared" si="5"/>
        <v>0</v>
      </c>
      <c r="P88" s="198"/>
    </row>
    <row r="89" spans="1:16" ht="16.5" thickTop="1" thickBot="1" x14ac:dyDescent="0.35">
      <c r="A89" s="23" t="s">
        <v>91</v>
      </c>
      <c r="B89" s="28">
        <f t="shared" ref="B89:N89" si="14">SUM(B39:B88)</f>
        <v>0</v>
      </c>
      <c r="C89" s="28">
        <f t="shared" si="14"/>
        <v>0</v>
      </c>
      <c r="D89" s="28">
        <f t="shared" si="14"/>
        <v>0</v>
      </c>
      <c r="E89" s="28">
        <f t="shared" si="14"/>
        <v>0</v>
      </c>
      <c r="F89" s="28">
        <f t="shared" si="14"/>
        <v>0</v>
      </c>
      <c r="G89" s="28">
        <f t="shared" si="14"/>
        <v>0</v>
      </c>
      <c r="H89" s="28">
        <f t="shared" si="14"/>
        <v>0</v>
      </c>
      <c r="I89" s="28">
        <f t="shared" si="14"/>
        <v>0</v>
      </c>
      <c r="J89" s="28">
        <f t="shared" si="14"/>
        <v>0</v>
      </c>
      <c r="K89" s="28">
        <f t="shared" si="14"/>
        <v>0</v>
      </c>
      <c r="L89" s="28">
        <f t="shared" si="14"/>
        <v>0</v>
      </c>
      <c r="M89" s="28">
        <f t="shared" si="14"/>
        <v>0</v>
      </c>
      <c r="N89" s="28">
        <f t="shared" si="14"/>
        <v>0</v>
      </c>
      <c r="P89" s="198"/>
    </row>
    <row r="90" spans="1:16" ht="15.75" thickBot="1" x14ac:dyDescent="0.35">
      <c r="P90" s="199"/>
    </row>
    <row r="91" spans="1:16" ht="16.5" thickTop="1" thickBot="1" x14ac:dyDescent="0.35">
      <c r="A91" s="36" t="s">
        <v>18</v>
      </c>
      <c r="B91" s="38">
        <v>43831</v>
      </c>
      <c r="C91" s="38">
        <v>43862</v>
      </c>
      <c r="D91" s="42">
        <v>43891</v>
      </c>
      <c r="E91" s="42">
        <v>43922</v>
      </c>
      <c r="F91" s="42">
        <v>43952</v>
      </c>
      <c r="G91" s="42">
        <v>43983</v>
      </c>
      <c r="H91" s="42">
        <v>44013</v>
      </c>
      <c r="I91" s="42">
        <v>44044</v>
      </c>
      <c r="J91" s="42">
        <v>44075</v>
      </c>
      <c r="K91" s="42">
        <v>44105</v>
      </c>
      <c r="L91" s="42">
        <v>44136</v>
      </c>
      <c r="M91" s="42">
        <v>44166</v>
      </c>
      <c r="N91" s="42" t="s">
        <v>88</v>
      </c>
      <c r="P91" s="198" t="s">
        <v>7</v>
      </c>
    </row>
    <row r="92" spans="1:16" ht="16.5" thickTop="1" thickBot="1" x14ac:dyDescent="0.35">
      <c r="A92" s="31" t="s">
        <v>45</v>
      </c>
      <c r="B92" s="39">
        <f>SUMIFS(Table5[Expense],Table5[Service Line],"Hospice",Table5[Cost Subcategory],"GENERAL",Table5[Month],"JANUARY")</f>
        <v>0</v>
      </c>
      <c r="C92" s="39">
        <f>SUMIFS(Table5[Expense],Table5[Service Line],"Hospice",Table5[Cost Subcategory],"GENERAL",Table5[Month],"FEBRUARY")</f>
        <v>0</v>
      </c>
      <c r="D92" s="39">
        <f>SUMIFS(Table5[Expense],Table5[Service Line],"Hospice",Table5[Cost Subcategory],"GENERAL",Table5[Month],"MARCH")</f>
        <v>0</v>
      </c>
      <c r="E92" s="39">
        <f>SUMIFS(Table5[Expense],Table5[Service Line],"Hospice",Table5[Cost Subcategory],"GENERAL",Table5[Month],"APRIL")</f>
        <v>0</v>
      </c>
      <c r="F92" s="39">
        <f>SUMIFS(Table5[Expense],Table5[Service Line],"Hospice",Table5[Cost Subcategory],"GENERAL",Table5[Month],"MAY")</f>
        <v>0</v>
      </c>
      <c r="G92" s="39">
        <f>SUMIFS(Table5[Expense],Table5[Service Line],"Hospice",Table5[Cost Subcategory],"GENERAL",Table5[Month],"JUNE")</f>
        <v>0</v>
      </c>
      <c r="H92" s="39">
        <f>SUMIFS(Table5[Expense],Table5[Service Line],"Hospice",Table5[Cost Subcategory],"GENERAL",Table5[Month],"JULY")</f>
        <v>0</v>
      </c>
      <c r="I92" s="39">
        <f>SUMIFS(Table5[Expense],Table5[Service Line],"Hospice",Table5[Cost Subcategory],"GENERAL",Table5[Month],"AUGUST")</f>
        <v>0</v>
      </c>
      <c r="J92" s="39">
        <f>SUMIFS(Table5[Expense],Table5[Service Line],"Hospice",Table5[Cost Subcategory],"GENERAL",Table5[Month],"SEPTEMBER")</f>
        <v>0</v>
      </c>
      <c r="K92" s="39">
        <f>SUMIFS(Table5[Expense],Table5[Service Line],"Hospice",Table5[Cost Subcategory],"GENERAL",Table5[Month],"OCTOBER")</f>
        <v>0</v>
      </c>
      <c r="L92" s="39">
        <f>SUMIFS(Table5[Expense],Table5[Service Line],"Hospice",Table5[Cost Subcategory],"GENERAL",Table5[Month],"NOVEMBER")</f>
        <v>0</v>
      </c>
      <c r="M92" s="39">
        <f>SUMIFS(Table5[Expense],Table5[Service Line],"Hospice",Table5[Cost Subcategory],"GENERAL",Table5[Month],"DECEMBER")</f>
        <v>0</v>
      </c>
      <c r="N92" s="43">
        <f t="shared" ref="N92" si="15">SUM(D92:M92)</f>
        <v>0</v>
      </c>
      <c r="P92" s="198"/>
    </row>
    <row r="93" spans="1:16" ht="16.5" thickTop="1" thickBot="1" x14ac:dyDescent="0.35">
      <c r="A93" s="23" t="s">
        <v>92</v>
      </c>
      <c r="B93" s="28">
        <f t="shared" ref="B93:C93" si="16">SUM(B92:B92)</f>
        <v>0</v>
      </c>
      <c r="C93" s="28">
        <f t="shared" si="16"/>
        <v>0</v>
      </c>
      <c r="D93" s="28">
        <f t="shared" ref="D93:N93" si="17">SUM(D92:D92)</f>
        <v>0</v>
      </c>
      <c r="E93" s="28">
        <f t="shared" si="17"/>
        <v>0</v>
      </c>
      <c r="F93" s="28">
        <f t="shared" si="17"/>
        <v>0</v>
      </c>
      <c r="G93" s="28">
        <f t="shared" si="17"/>
        <v>0</v>
      </c>
      <c r="H93" s="28">
        <f t="shared" si="17"/>
        <v>0</v>
      </c>
      <c r="I93" s="28">
        <f t="shared" si="17"/>
        <v>0</v>
      </c>
      <c r="J93" s="28">
        <f t="shared" si="17"/>
        <v>0</v>
      </c>
      <c r="K93" s="28">
        <f t="shared" si="17"/>
        <v>0</v>
      </c>
      <c r="L93" s="28">
        <f t="shared" si="17"/>
        <v>0</v>
      </c>
      <c r="M93" s="28">
        <f t="shared" si="17"/>
        <v>0</v>
      </c>
      <c r="N93" s="28">
        <f t="shared" si="17"/>
        <v>0</v>
      </c>
      <c r="P93" s="198"/>
    </row>
    <row r="94" spans="1:16" ht="15.75" thickBot="1" x14ac:dyDescent="0.35"/>
    <row r="95" spans="1:16" ht="15.75" thickBot="1" x14ac:dyDescent="0.35">
      <c r="A95" s="23" t="s">
        <v>87</v>
      </c>
      <c r="B95" s="28">
        <f t="shared" ref="B95:N95" si="18">SUM(B93+B89+B36+B22)</f>
        <v>0</v>
      </c>
      <c r="C95" s="28">
        <f t="shared" si="18"/>
        <v>0</v>
      </c>
      <c r="D95" s="28">
        <f t="shared" si="18"/>
        <v>0</v>
      </c>
      <c r="E95" s="28">
        <f t="shared" si="18"/>
        <v>0</v>
      </c>
      <c r="F95" s="28">
        <f t="shared" si="18"/>
        <v>0</v>
      </c>
      <c r="G95" s="28">
        <f t="shared" si="18"/>
        <v>0</v>
      </c>
      <c r="H95" s="28">
        <f t="shared" si="18"/>
        <v>0</v>
      </c>
      <c r="I95" s="28">
        <f t="shared" si="18"/>
        <v>0</v>
      </c>
      <c r="J95" s="28">
        <f t="shared" si="18"/>
        <v>0</v>
      </c>
      <c r="K95" s="28">
        <f t="shared" si="18"/>
        <v>0</v>
      </c>
      <c r="L95" s="28">
        <f t="shared" si="18"/>
        <v>0</v>
      </c>
      <c r="M95" s="28">
        <f t="shared" si="18"/>
        <v>0</v>
      </c>
      <c r="N95" s="28">
        <f t="shared" si="18"/>
        <v>0</v>
      </c>
    </row>
  </sheetData>
  <sheetProtection algorithmName="SHA-512" hashValue="5y79TwsyjtNfF7fnKwenHBBbpW0vvC8oY+dTmwQffh+fxvE5I1zz5rTrF5tkdD8eOzOaqtp/Nmwe6LbIJFVljQ==" saltValue="ZbRLbAlIFr48x/uAEdyemw=="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8FB8-81B1-4EE0-BC59-0CA4F22ED664}">
  <sheetPr>
    <tabColor theme="5" tint="0.79998168889431442"/>
  </sheetPr>
  <dimension ref="A1:B88"/>
  <sheetViews>
    <sheetView workbookViewId="0">
      <pane ySplit="2" topLeftCell="A21" activePane="bottomLeft" state="frozen"/>
      <selection activeCell="B104" sqref="B104"/>
      <selection pane="bottomLeft" activeCell="B19" sqref="B19"/>
    </sheetView>
  </sheetViews>
  <sheetFormatPr defaultColWidth="9.140625" defaultRowHeight="15" x14ac:dyDescent="0.25"/>
  <cols>
    <col min="1" max="1" width="38.7109375" style="30" bestFit="1" customWidth="1"/>
    <col min="2" max="2" width="150.7109375" style="100" customWidth="1"/>
    <col min="3" max="16384" width="9.140625" style="30"/>
  </cols>
  <sheetData>
    <row r="1" spans="1:2" ht="17.25" x14ac:dyDescent="0.35">
      <c r="A1" s="110" t="s">
        <v>96</v>
      </c>
      <c r="B1" s="111"/>
    </row>
    <row r="2" spans="1:2" s="103" customFormat="1" ht="17.25" x14ac:dyDescent="0.35">
      <c r="A2" s="110"/>
      <c r="B2" s="111"/>
    </row>
    <row r="3" spans="1:2" x14ac:dyDescent="0.25">
      <c r="A3" s="37" t="s">
        <v>83</v>
      </c>
      <c r="B3" s="98" t="s">
        <v>43</v>
      </c>
    </row>
    <row r="4" spans="1:2" x14ac:dyDescent="0.25">
      <c r="A4" s="24" t="s">
        <v>27</v>
      </c>
      <c r="B4" s="161" t="s">
        <v>342</v>
      </c>
    </row>
    <row r="5" spans="1:2" x14ac:dyDescent="0.25">
      <c r="A5" s="24" t="s">
        <v>47</v>
      </c>
      <c r="B5" s="161" t="s">
        <v>343</v>
      </c>
    </row>
    <row r="6" spans="1:2" x14ac:dyDescent="0.25">
      <c r="A6" s="24" t="s">
        <v>94</v>
      </c>
      <c r="B6" s="161" t="s">
        <v>344</v>
      </c>
    </row>
    <row r="7" spans="1:2" x14ac:dyDescent="0.25">
      <c r="A7" s="24" t="s">
        <v>95</v>
      </c>
      <c r="B7" s="161" t="s">
        <v>345</v>
      </c>
    </row>
    <row r="8" spans="1:2" x14ac:dyDescent="0.25">
      <c r="A8" s="24" t="s">
        <v>46</v>
      </c>
      <c r="B8" s="161" t="s">
        <v>346</v>
      </c>
    </row>
    <row r="9" spans="1:2" x14ac:dyDescent="0.25">
      <c r="A9" s="24" t="s">
        <v>24</v>
      </c>
      <c r="B9" s="161" t="s">
        <v>347</v>
      </c>
    </row>
    <row r="10" spans="1:2" x14ac:dyDescent="0.25">
      <c r="A10" s="24" t="s">
        <v>29</v>
      </c>
      <c r="B10" s="161" t="s">
        <v>348</v>
      </c>
    </row>
    <row r="11" spans="1:2" x14ac:dyDescent="0.25">
      <c r="A11" s="24" t="s">
        <v>28</v>
      </c>
      <c r="B11" s="161" t="s">
        <v>349</v>
      </c>
    </row>
    <row r="12" spans="1:2" x14ac:dyDescent="0.25">
      <c r="A12" s="24" t="s">
        <v>25</v>
      </c>
      <c r="B12" s="161" t="s">
        <v>350</v>
      </c>
    </row>
    <row r="13" spans="1:2" x14ac:dyDescent="0.25">
      <c r="A13" s="24" t="s">
        <v>32</v>
      </c>
      <c r="B13" s="161" t="s">
        <v>351</v>
      </c>
    </row>
    <row r="14" spans="1:2" x14ac:dyDescent="0.25">
      <c r="A14" s="24" t="s">
        <v>33</v>
      </c>
      <c r="B14" s="161" t="s">
        <v>352</v>
      </c>
    </row>
    <row r="15" spans="1:2" x14ac:dyDescent="0.25">
      <c r="A15" s="24" t="s">
        <v>30</v>
      </c>
      <c r="B15" s="161" t="s">
        <v>353</v>
      </c>
    </row>
    <row r="16" spans="1:2" x14ac:dyDescent="0.25">
      <c r="A16" s="24" t="s">
        <v>31</v>
      </c>
      <c r="B16" s="161" t="s">
        <v>354</v>
      </c>
    </row>
    <row r="17" spans="1:2" x14ac:dyDescent="0.25">
      <c r="A17" s="24" t="s">
        <v>26</v>
      </c>
      <c r="B17" s="161" t="s">
        <v>355</v>
      </c>
    </row>
    <row r="18" spans="1:2" x14ac:dyDescent="0.25">
      <c r="A18" s="24" t="s">
        <v>55</v>
      </c>
      <c r="B18" s="161" t="s">
        <v>356</v>
      </c>
    </row>
    <row r="19" spans="1:2" x14ac:dyDescent="0.25">
      <c r="A19" s="24" t="s">
        <v>54</v>
      </c>
      <c r="B19" s="161" t="s">
        <v>357</v>
      </c>
    </row>
    <row r="20" spans="1:2" x14ac:dyDescent="0.25">
      <c r="A20" s="24" t="s">
        <v>85</v>
      </c>
      <c r="B20" s="161" t="s">
        <v>340</v>
      </c>
    </row>
    <row r="21" spans="1:2" x14ac:dyDescent="0.25">
      <c r="A21" s="46"/>
      <c r="B21" s="99"/>
    </row>
    <row r="22" spans="1:2" x14ac:dyDescent="0.25">
      <c r="A22" s="37" t="s">
        <v>84</v>
      </c>
      <c r="B22" s="98" t="s">
        <v>43</v>
      </c>
    </row>
    <row r="23" spans="1:2" ht="30" x14ac:dyDescent="0.3">
      <c r="A23" s="31" t="s">
        <v>66</v>
      </c>
      <c r="B23" s="126" t="s">
        <v>334</v>
      </c>
    </row>
    <row r="24" spans="1:2" ht="15.75" x14ac:dyDescent="0.3">
      <c r="A24" s="31" t="s">
        <v>65</v>
      </c>
      <c r="B24" s="126" t="s">
        <v>358</v>
      </c>
    </row>
    <row r="25" spans="1:2" ht="30" x14ac:dyDescent="0.3">
      <c r="A25" s="31" t="s">
        <v>432</v>
      </c>
      <c r="B25" s="126" t="s">
        <v>433</v>
      </c>
    </row>
    <row r="26" spans="1:2" ht="30" x14ac:dyDescent="0.3">
      <c r="A26" s="127" t="s">
        <v>325</v>
      </c>
      <c r="B26" s="126" t="s">
        <v>335</v>
      </c>
    </row>
    <row r="27" spans="1:2" ht="30" x14ac:dyDescent="0.3">
      <c r="A27" s="31" t="s">
        <v>128</v>
      </c>
      <c r="B27" s="162" t="s">
        <v>341</v>
      </c>
    </row>
    <row r="28" spans="1:2" ht="15.75" x14ac:dyDescent="0.3">
      <c r="A28" s="31" t="s">
        <v>323</v>
      </c>
      <c r="B28" s="126" t="s">
        <v>427</v>
      </c>
    </row>
    <row r="29" spans="1:2" ht="15.75" x14ac:dyDescent="0.3">
      <c r="A29" s="31" t="s">
        <v>67</v>
      </c>
      <c r="B29" s="126" t="s">
        <v>336</v>
      </c>
    </row>
    <row r="30" spans="1:2" ht="15.75" x14ac:dyDescent="0.3">
      <c r="A30" s="31" t="s">
        <v>68</v>
      </c>
      <c r="B30" s="126" t="s">
        <v>359</v>
      </c>
    </row>
    <row r="31" spans="1:2" ht="15.75" x14ac:dyDescent="0.3">
      <c r="A31" s="31" t="s">
        <v>69</v>
      </c>
      <c r="B31" s="126" t="s">
        <v>360</v>
      </c>
    </row>
    <row r="32" spans="1:2" ht="15.75" x14ac:dyDescent="0.3">
      <c r="A32" s="31" t="s">
        <v>50</v>
      </c>
      <c r="B32" s="162" t="s">
        <v>361</v>
      </c>
    </row>
    <row r="33" spans="1:2" ht="15.75" x14ac:dyDescent="0.3">
      <c r="A33" s="31" t="s">
        <v>327</v>
      </c>
      <c r="B33" s="126" t="s">
        <v>337</v>
      </c>
    </row>
    <row r="35" spans="1:2" x14ac:dyDescent="0.25">
      <c r="A35" s="37" t="s">
        <v>125</v>
      </c>
      <c r="B35" s="98" t="s">
        <v>43</v>
      </c>
    </row>
    <row r="36" spans="1:2" ht="15.75" x14ac:dyDescent="0.3">
      <c r="A36" s="47" t="s">
        <v>62</v>
      </c>
      <c r="B36" s="101" t="s">
        <v>362</v>
      </c>
    </row>
    <row r="37" spans="1:2" ht="15.75" x14ac:dyDescent="0.3">
      <c r="A37" s="47" t="s">
        <v>63</v>
      </c>
      <c r="B37" s="101" t="s">
        <v>363</v>
      </c>
    </row>
    <row r="38" spans="1:2" s="103" customFormat="1" ht="15.75" x14ac:dyDescent="0.3">
      <c r="A38" s="48" t="s">
        <v>52</v>
      </c>
      <c r="B38" s="102" t="s">
        <v>364</v>
      </c>
    </row>
    <row r="39" spans="1:2" s="103" customFormat="1" ht="15.75" x14ac:dyDescent="0.3">
      <c r="A39" s="48" t="s">
        <v>53</v>
      </c>
      <c r="B39" s="102" t="s">
        <v>365</v>
      </c>
    </row>
    <row r="40" spans="1:2" s="103" customFormat="1" ht="15.75" x14ac:dyDescent="0.3">
      <c r="A40" s="48" t="s">
        <v>97</v>
      </c>
      <c r="B40" s="102" t="s">
        <v>366</v>
      </c>
    </row>
    <row r="41" spans="1:2" s="103" customFormat="1" ht="15.75" x14ac:dyDescent="0.3">
      <c r="A41" s="48" t="s">
        <v>51</v>
      </c>
      <c r="B41" s="102" t="s">
        <v>367</v>
      </c>
    </row>
    <row r="42" spans="1:2" s="103" customFormat="1" ht="15.75" x14ac:dyDescent="0.3">
      <c r="A42" s="48" t="s">
        <v>98</v>
      </c>
      <c r="B42" s="102" t="s">
        <v>368</v>
      </c>
    </row>
    <row r="43" spans="1:2" s="103" customFormat="1" ht="15.75" x14ac:dyDescent="0.3">
      <c r="A43" s="48" t="s">
        <v>99</v>
      </c>
      <c r="B43" s="102" t="s">
        <v>369</v>
      </c>
    </row>
    <row r="44" spans="1:2" s="103" customFormat="1" ht="15.75" x14ac:dyDescent="0.3">
      <c r="A44" s="48" t="s">
        <v>101</v>
      </c>
      <c r="B44" s="102" t="s">
        <v>370</v>
      </c>
    </row>
    <row r="45" spans="1:2" s="103" customFormat="1" ht="15.75" x14ac:dyDescent="0.3">
      <c r="A45" s="48" t="s">
        <v>100</v>
      </c>
      <c r="B45" s="102" t="s">
        <v>371</v>
      </c>
    </row>
    <row r="46" spans="1:2" s="103" customFormat="1" ht="15.75" x14ac:dyDescent="0.3">
      <c r="A46" s="48" t="s">
        <v>124</v>
      </c>
      <c r="B46" s="163" t="s">
        <v>372</v>
      </c>
    </row>
    <row r="47" spans="1:2" s="103" customFormat="1" ht="15.75" x14ac:dyDescent="0.3">
      <c r="A47" s="48" t="s">
        <v>210</v>
      </c>
      <c r="B47" s="102" t="s">
        <v>373</v>
      </c>
    </row>
    <row r="48" spans="1:2" s="103" customFormat="1" ht="15.75" x14ac:dyDescent="0.3">
      <c r="A48" s="48" t="s">
        <v>211</v>
      </c>
      <c r="B48" s="102" t="s">
        <v>374</v>
      </c>
    </row>
    <row r="49" spans="1:2" s="103" customFormat="1" ht="15.75" x14ac:dyDescent="0.3">
      <c r="A49" s="48" t="s">
        <v>212</v>
      </c>
      <c r="B49" s="102" t="s">
        <v>375</v>
      </c>
    </row>
    <row r="50" spans="1:2" s="103" customFormat="1" ht="15.75" x14ac:dyDescent="0.3">
      <c r="A50" s="48" t="s">
        <v>213</v>
      </c>
      <c r="B50" s="102" t="s">
        <v>376</v>
      </c>
    </row>
    <row r="51" spans="1:2" s="103" customFormat="1" ht="15.75" x14ac:dyDescent="0.3">
      <c r="A51" s="48" t="s">
        <v>424</v>
      </c>
      <c r="B51" s="102" t="s">
        <v>431</v>
      </c>
    </row>
    <row r="52" spans="1:2" s="103" customFormat="1" ht="15.75" x14ac:dyDescent="0.3">
      <c r="A52" s="48" t="s">
        <v>425</v>
      </c>
      <c r="B52" s="102" t="s">
        <v>426</v>
      </c>
    </row>
    <row r="53" spans="1:2" s="103" customFormat="1" ht="15.75" x14ac:dyDescent="0.3">
      <c r="A53" s="48" t="s">
        <v>214</v>
      </c>
      <c r="B53" s="164" t="s">
        <v>328</v>
      </c>
    </row>
    <row r="54" spans="1:2" s="103" customFormat="1" ht="15.75" x14ac:dyDescent="0.3">
      <c r="A54" s="104" t="s">
        <v>215</v>
      </c>
      <c r="B54" s="164" t="s">
        <v>377</v>
      </c>
    </row>
    <row r="55" spans="1:2" s="103" customFormat="1" ht="15.75" x14ac:dyDescent="0.3">
      <c r="A55" s="104" t="s">
        <v>216</v>
      </c>
      <c r="B55" s="102" t="s">
        <v>378</v>
      </c>
    </row>
    <row r="56" spans="1:2" s="103" customFormat="1" ht="15.75" x14ac:dyDescent="0.3">
      <c r="A56" s="48" t="s">
        <v>118</v>
      </c>
      <c r="B56" s="102" t="s">
        <v>383</v>
      </c>
    </row>
    <row r="57" spans="1:2" s="103" customFormat="1" ht="15.75" x14ac:dyDescent="0.3">
      <c r="A57" s="48" t="s">
        <v>324</v>
      </c>
      <c r="B57" s="102" t="s">
        <v>379</v>
      </c>
    </row>
    <row r="58" spans="1:2" s="103" customFormat="1" ht="15.75" x14ac:dyDescent="0.3">
      <c r="A58" s="104" t="s">
        <v>120</v>
      </c>
      <c r="B58" s="102" t="s">
        <v>380</v>
      </c>
    </row>
    <row r="59" spans="1:2" s="103" customFormat="1" ht="15.75" x14ac:dyDescent="0.3">
      <c r="A59" s="104" t="s">
        <v>121</v>
      </c>
      <c r="B59" s="102" t="s">
        <v>381</v>
      </c>
    </row>
    <row r="60" spans="1:2" s="103" customFormat="1" ht="15.75" x14ac:dyDescent="0.3">
      <c r="A60" s="104" t="s">
        <v>122</v>
      </c>
      <c r="B60" s="102" t="s">
        <v>382</v>
      </c>
    </row>
    <row r="61" spans="1:2" s="103" customFormat="1" ht="15.75" x14ac:dyDescent="0.3">
      <c r="A61" s="48" t="s">
        <v>102</v>
      </c>
      <c r="B61" s="102" t="s">
        <v>331</v>
      </c>
    </row>
    <row r="62" spans="1:2" s="103" customFormat="1" ht="15.75" x14ac:dyDescent="0.3">
      <c r="A62" s="48" t="s">
        <v>119</v>
      </c>
      <c r="B62" s="102" t="s">
        <v>384</v>
      </c>
    </row>
    <row r="63" spans="1:2" s="103" customFormat="1" ht="15.75" x14ac:dyDescent="0.3">
      <c r="A63" s="48" t="s">
        <v>103</v>
      </c>
      <c r="B63" s="102" t="s">
        <v>385</v>
      </c>
    </row>
    <row r="64" spans="1:2" s="103" customFormat="1" ht="15.75" x14ac:dyDescent="0.3">
      <c r="A64" s="48" t="s">
        <v>104</v>
      </c>
      <c r="B64" s="102" t="s">
        <v>428</v>
      </c>
    </row>
    <row r="65" spans="1:2" s="103" customFormat="1" ht="15.75" x14ac:dyDescent="0.3">
      <c r="A65" s="104" t="s">
        <v>61</v>
      </c>
      <c r="B65" s="102" t="s">
        <v>386</v>
      </c>
    </row>
    <row r="66" spans="1:2" s="103" customFormat="1" ht="15.75" x14ac:dyDescent="0.3">
      <c r="A66" s="48" t="s">
        <v>123</v>
      </c>
      <c r="B66" s="102" t="s">
        <v>429</v>
      </c>
    </row>
    <row r="67" spans="1:2" s="103" customFormat="1" ht="15.75" x14ac:dyDescent="0.3">
      <c r="A67" s="48" t="s">
        <v>60</v>
      </c>
      <c r="B67" s="102" t="s">
        <v>332</v>
      </c>
    </row>
    <row r="68" spans="1:2" s="103" customFormat="1" ht="15.75" x14ac:dyDescent="0.3">
      <c r="A68" s="48" t="s">
        <v>59</v>
      </c>
      <c r="B68" s="102" t="s">
        <v>387</v>
      </c>
    </row>
    <row r="69" spans="1:2" s="103" customFormat="1" ht="15.75" x14ac:dyDescent="0.3">
      <c r="A69" s="48" t="s">
        <v>330</v>
      </c>
      <c r="B69" s="102" t="s">
        <v>388</v>
      </c>
    </row>
    <row r="70" spans="1:2" s="103" customFormat="1" ht="15.75" x14ac:dyDescent="0.3">
      <c r="A70" s="48" t="s">
        <v>58</v>
      </c>
      <c r="B70" s="102" t="s">
        <v>389</v>
      </c>
    </row>
    <row r="71" spans="1:2" s="103" customFormat="1" ht="15.75" x14ac:dyDescent="0.3">
      <c r="A71" s="48" t="s">
        <v>117</v>
      </c>
      <c r="B71" s="102" t="s">
        <v>390</v>
      </c>
    </row>
    <row r="72" spans="1:2" s="103" customFormat="1" ht="15.75" x14ac:dyDescent="0.3">
      <c r="A72" s="48" t="s">
        <v>57</v>
      </c>
      <c r="B72" s="102" t="s">
        <v>391</v>
      </c>
    </row>
    <row r="73" spans="1:2" s="103" customFormat="1" ht="15.75" x14ac:dyDescent="0.3">
      <c r="A73" s="48" t="s">
        <v>64</v>
      </c>
      <c r="B73" s="102" t="s">
        <v>392</v>
      </c>
    </row>
    <row r="74" spans="1:2" s="103" customFormat="1" ht="15.75" x14ac:dyDescent="0.3">
      <c r="A74" s="48" t="s">
        <v>105</v>
      </c>
      <c r="B74" s="102" t="s">
        <v>430</v>
      </c>
    </row>
    <row r="75" spans="1:2" s="103" customFormat="1" ht="15.75" x14ac:dyDescent="0.3">
      <c r="A75" s="48" t="s">
        <v>106</v>
      </c>
      <c r="B75" s="102" t="s">
        <v>393</v>
      </c>
    </row>
    <row r="76" spans="1:2" s="103" customFormat="1" ht="15.75" x14ac:dyDescent="0.3">
      <c r="A76" s="48" t="s">
        <v>107</v>
      </c>
      <c r="B76" s="102" t="s">
        <v>394</v>
      </c>
    </row>
    <row r="77" spans="1:2" s="103" customFormat="1" ht="15.75" x14ac:dyDescent="0.3">
      <c r="A77" s="48" t="s">
        <v>108</v>
      </c>
      <c r="B77" s="102" t="s">
        <v>395</v>
      </c>
    </row>
    <row r="78" spans="1:2" s="103" customFormat="1" ht="15.75" x14ac:dyDescent="0.3">
      <c r="A78" s="48" t="s">
        <v>109</v>
      </c>
      <c r="B78" s="102" t="s">
        <v>396</v>
      </c>
    </row>
    <row r="79" spans="1:2" s="103" customFormat="1" ht="15.75" x14ac:dyDescent="0.3">
      <c r="A79" s="48" t="s">
        <v>110</v>
      </c>
      <c r="B79" s="102" t="s">
        <v>397</v>
      </c>
    </row>
    <row r="80" spans="1:2" s="103" customFormat="1" ht="15.75" x14ac:dyDescent="0.3">
      <c r="A80" s="48" t="s">
        <v>56</v>
      </c>
      <c r="B80" s="102" t="s">
        <v>333</v>
      </c>
    </row>
    <row r="81" spans="1:2" s="103" customFormat="1" ht="15.75" x14ac:dyDescent="0.3">
      <c r="A81" s="48" t="s">
        <v>131</v>
      </c>
      <c r="B81" s="102" t="s">
        <v>398</v>
      </c>
    </row>
    <row r="82" spans="1:2" s="103" customFormat="1" ht="15.75" x14ac:dyDescent="0.3">
      <c r="A82" s="104" t="s">
        <v>115</v>
      </c>
      <c r="B82" s="165" t="s">
        <v>399</v>
      </c>
    </row>
    <row r="83" spans="1:2" s="103" customFormat="1" ht="15.75" x14ac:dyDescent="0.3">
      <c r="A83" s="48" t="s">
        <v>111</v>
      </c>
      <c r="B83" s="102" t="s">
        <v>400</v>
      </c>
    </row>
    <row r="84" spans="1:2" s="103" customFormat="1" ht="15.75" x14ac:dyDescent="0.3">
      <c r="A84" s="48" t="s">
        <v>112</v>
      </c>
      <c r="B84" s="102" t="s">
        <v>401</v>
      </c>
    </row>
    <row r="85" spans="1:2" s="103" customFormat="1" ht="15.75" x14ac:dyDescent="0.3">
      <c r="A85" s="48" t="s">
        <v>113</v>
      </c>
      <c r="B85" s="102" t="s">
        <v>402</v>
      </c>
    </row>
    <row r="87" spans="1:2" x14ac:dyDescent="0.25">
      <c r="A87" s="37" t="s">
        <v>114</v>
      </c>
      <c r="B87" s="98" t="s">
        <v>43</v>
      </c>
    </row>
    <row r="88" spans="1:2" ht="15.75" x14ac:dyDescent="0.3">
      <c r="A88" s="47" t="s">
        <v>45</v>
      </c>
      <c r="B88" s="101" t="s">
        <v>403</v>
      </c>
    </row>
  </sheetData>
  <sheetProtection algorithmName="SHA-512" hashValue="zhPLkq07FhCa9pe3Rl/gn+ybfbHxdJTmz2blX+NMusPsLUF0JYfYPF842aSzrK56fMYBsIbYi8fPZQnE1HnMhQ==" saltValue="5JDr891X3mvWWdDMJNYp6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096A-9B39-4846-B5E8-3208972F0652}">
  <sheetPr>
    <tabColor theme="5" tint="0.79998168889431442"/>
  </sheetPr>
  <dimension ref="A1:I51"/>
  <sheetViews>
    <sheetView workbookViewId="0">
      <selection activeCell="F22" sqref="F22"/>
    </sheetView>
  </sheetViews>
  <sheetFormatPr defaultColWidth="9.140625" defaultRowHeight="15" x14ac:dyDescent="0.3"/>
  <cols>
    <col min="1" max="1" width="18.42578125" style="41" bestFit="1" customWidth="1"/>
    <col min="2" max="2" width="9.140625" style="22"/>
    <col min="3" max="3" width="21.5703125" style="41" bestFit="1" customWidth="1"/>
    <col min="4" max="4" width="9.140625" style="22"/>
    <col min="5" max="5" width="46.28515625" style="41" bestFit="1" customWidth="1"/>
    <col min="6" max="6" width="9.140625" style="22"/>
    <col min="7" max="7" width="39.5703125" style="41" bestFit="1" customWidth="1"/>
    <col min="8" max="8" width="9.140625" style="22"/>
    <col min="9" max="9" width="18.42578125" style="41" bestFit="1" customWidth="1"/>
    <col min="10" max="16384" width="9.140625" style="22"/>
  </cols>
  <sheetData>
    <row r="1" spans="1:9" x14ac:dyDescent="0.3">
      <c r="A1" s="41" t="s">
        <v>21</v>
      </c>
      <c r="C1" s="41" t="s">
        <v>48</v>
      </c>
      <c r="E1" s="41" t="s">
        <v>49</v>
      </c>
      <c r="G1" s="41" t="s">
        <v>126</v>
      </c>
      <c r="I1" s="49" t="s">
        <v>22</v>
      </c>
    </row>
    <row r="2" spans="1:9" x14ac:dyDescent="0.3">
      <c r="A2" s="41" t="s">
        <v>70</v>
      </c>
      <c r="C2" s="50" t="s">
        <v>27</v>
      </c>
      <c r="E2" s="31" t="s">
        <v>66</v>
      </c>
      <c r="G2" s="31" t="s">
        <v>62</v>
      </c>
      <c r="I2" s="41" t="s">
        <v>45</v>
      </c>
    </row>
    <row r="3" spans="1:9" x14ac:dyDescent="0.3">
      <c r="A3" s="41" t="s">
        <v>71</v>
      </c>
      <c r="C3" s="35" t="s">
        <v>47</v>
      </c>
      <c r="E3" s="31" t="s">
        <v>65</v>
      </c>
      <c r="G3" s="31" t="s">
        <v>63</v>
      </c>
    </row>
    <row r="4" spans="1:9" x14ac:dyDescent="0.3">
      <c r="A4" s="41" t="s">
        <v>126</v>
      </c>
      <c r="C4" s="50" t="s">
        <v>94</v>
      </c>
      <c r="E4" s="41" t="s">
        <v>432</v>
      </c>
      <c r="G4" s="31" t="s">
        <v>52</v>
      </c>
    </row>
    <row r="5" spans="1:9" x14ac:dyDescent="0.3">
      <c r="A5" s="41" t="s">
        <v>93</v>
      </c>
      <c r="C5" s="24" t="s">
        <v>95</v>
      </c>
      <c r="E5" s="31" t="s">
        <v>325</v>
      </c>
      <c r="G5" s="31" t="s">
        <v>53</v>
      </c>
    </row>
    <row r="6" spans="1:9" x14ac:dyDescent="0.3">
      <c r="C6" s="50" t="s">
        <v>46</v>
      </c>
      <c r="E6" s="31" t="s">
        <v>128</v>
      </c>
      <c r="G6" s="31" t="s">
        <v>97</v>
      </c>
    </row>
    <row r="7" spans="1:9" x14ac:dyDescent="0.3">
      <c r="C7" s="24" t="s">
        <v>24</v>
      </c>
      <c r="E7" s="31" t="s">
        <v>323</v>
      </c>
      <c r="G7" s="31" t="s">
        <v>51</v>
      </c>
    </row>
    <row r="8" spans="1:9" x14ac:dyDescent="0.3">
      <c r="A8" s="41" t="s">
        <v>36</v>
      </c>
      <c r="C8" s="24" t="s">
        <v>29</v>
      </c>
      <c r="E8" s="31" t="s">
        <v>67</v>
      </c>
      <c r="G8" s="31" t="s">
        <v>98</v>
      </c>
    </row>
    <row r="9" spans="1:9" x14ac:dyDescent="0.3">
      <c r="A9" s="41" t="s">
        <v>37</v>
      </c>
      <c r="C9" s="24" t="s">
        <v>28</v>
      </c>
      <c r="E9" s="31" t="s">
        <v>68</v>
      </c>
      <c r="G9" s="31" t="s">
        <v>99</v>
      </c>
    </row>
    <row r="10" spans="1:9" x14ac:dyDescent="0.3">
      <c r="A10" s="41" t="s">
        <v>38</v>
      </c>
      <c r="C10" s="24" t="s">
        <v>25</v>
      </c>
      <c r="E10" s="31" t="s">
        <v>69</v>
      </c>
      <c r="G10" s="31" t="s">
        <v>101</v>
      </c>
    </row>
    <row r="11" spans="1:9" x14ac:dyDescent="0.3">
      <c r="C11" s="24" t="s">
        <v>32</v>
      </c>
      <c r="E11" s="35" t="s">
        <v>50</v>
      </c>
      <c r="G11" s="31" t="s">
        <v>100</v>
      </c>
    </row>
    <row r="12" spans="1:9" x14ac:dyDescent="0.3">
      <c r="A12" s="41" t="s">
        <v>40</v>
      </c>
      <c r="C12" s="24" t="s">
        <v>33</v>
      </c>
      <c r="E12" s="50" t="s">
        <v>327</v>
      </c>
      <c r="G12" s="31" t="s">
        <v>124</v>
      </c>
    </row>
    <row r="13" spans="1:9" x14ac:dyDescent="0.3">
      <c r="A13" s="41" t="s">
        <v>41</v>
      </c>
      <c r="C13" s="24" t="s">
        <v>30</v>
      </c>
      <c r="G13" s="31" t="s">
        <v>210</v>
      </c>
    </row>
    <row r="14" spans="1:9" x14ac:dyDescent="0.3">
      <c r="C14" s="24" t="s">
        <v>31</v>
      </c>
      <c r="G14" s="31" t="s">
        <v>211</v>
      </c>
    </row>
    <row r="15" spans="1:9" x14ac:dyDescent="0.3">
      <c r="C15" s="24" t="s">
        <v>26</v>
      </c>
      <c r="G15" s="31" t="s">
        <v>212</v>
      </c>
    </row>
    <row r="16" spans="1:9" x14ac:dyDescent="0.3">
      <c r="C16" s="50" t="s">
        <v>55</v>
      </c>
      <c r="G16" s="31" t="s">
        <v>213</v>
      </c>
    </row>
    <row r="17" spans="1:7" x14ac:dyDescent="0.3">
      <c r="A17" s="41" t="s">
        <v>72</v>
      </c>
      <c r="C17" s="50" t="s">
        <v>54</v>
      </c>
      <c r="G17" s="31" t="s">
        <v>424</v>
      </c>
    </row>
    <row r="18" spans="1:7" x14ac:dyDescent="0.3">
      <c r="A18" s="41" t="s">
        <v>208</v>
      </c>
      <c r="C18" s="50" t="s">
        <v>85</v>
      </c>
      <c r="G18" s="31" t="s">
        <v>425</v>
      </c>
    </row>
    <row r="19" spans="1:7" x14ac:dyDescent="0.3">
      <c r="A19" s="41" t="s">
        <v>209</v>
      </c>
      <c r="G19" s="31" t="s">
        <v>214</v>
      </c>
    </row>
    <row r="20" spans="1:7" x14ac:dyDescent="0.3">
      <c r="A20" s="41" t="s">
        <v>73</v>
      </c>
      <c r="G20" s="31" t="s">
        <v>215</v>
      </c>
    </row>
    <row r="21" spans="1:7" x14ac:dyDescent="0.3">
      <c r="A21" s="41" t="s">
        <v>74</v>
      </c>
      <c r="G21" s="31" t="s">
        <v>216</v>
      </c>
    </row>
    <row r="22" spans="1:7" x14ac:dyDescent="0.3">
      <c r="A22" s="41" t="s">
        <v>75</v>
      </c>
      <c r="G22" s="31" t="s">
        <v>118</v>
      </c>
    </row>
    <row r="23" spans="1:7" x14ac:dyDescent="0.3">
      <c r="A23" s="41" t="s">
        <v>76</v>
      </c>
      <c r="G23" s="31" t="s">
        <v>324</v>
      </c>
    </row>
    <row r="24" spans="1:7" x14ac:dyDescent="0.3">
      <c r="A24" s="41" t="s">
        <v>77</v>
      </c>
      <c r="G24" s="31" t="s">
        <v>120</v>
      </c>
    </row>
    <row r="25" spans="1:7" x14ac:dyDescent="0.3">
      <c r="A25" s="41" t="s">
        <v>78</v>
      </c>
      <c r="G25" s="31" t="s">
        <v>121</v>
      </c>
    </row>
    <row r="26" spans="1:7" x14ac:dyDescent="0.3">
      <c r="A26" s="41" t="s">
        <v>79</v>
      </c>
      <c r="G26" s="31" t="s">
        <v>122</v>
      </c>
    </row>
    <row r="27" spans="1:7" x14ac:dyDescent="0.3">
      <c r="A27" s="41" t="s">
        <v>80</v>
      </c>
      <c r="G27" s="31" t="s">
        <v>102</v>
      </c>
    </row>
    <row r="28" spans="1:7" x14ac:dyDescent="0.3">
      <c r="A28" s="41" t="s">
        <v>81</v>
      </c>
      <c r="G28" s="31" t="s">
        <v>119</v>
      </c>
    </row>
    <row r="29" spans="1:7" x14ac:dyDescent="0.3">
      <c r="A29" s="41" t="s">
        <v>82</v>
      </c>
      <c r="G29" s="31" t="s">
        <v>103</v>
      </c>
    </row>
    <row r="30" spans="1:7" x14ac:dyDescent="0.3">
      <c r="G30" s="31" t="s">
        <v>104</v>
      </c>
    </row>
    <row r="31" spans="1:7" x14ac:dyDescent="0.3">
      <c r="G31" s="31" t="s">
        <v>61</v>
      </c>
    </row>
    <row r="32" spans="1:7" x14ac:dyDescent="0.3">
      <c r="G32" s="31" t="s">
        <v>123</v>
      </c>
    </row>
    <row r="33" spans="7:7" x14ac:dyDescent="0.3">
      <c r="G33" s="31" t="s">
        <v>60</v>
      </c>
    </row>
    <row r="34" spans="7:7" x14ac:dyDescent="0.3">
      <c r="G34" s="31" t="s">
        <v>59</v>
      </c>
    </row>
    <row r="35" spans="7:7" x14ac:dyDescent="0.3">
      <c r="G35" s="31" t="s">
        <v>330</v>
      </c>
    </row>
    <row r="36" spans="7:7" x14ac:dyDescent="0.3">
      <c r="G36" s="31" t="s">
        <v>58</v>
      </c>
    </row>
    <row r="37" spans="7:7" x14ac:dyDescent="0.3">
      <c r="G37" s="31" t="s">
        <v>117</v>
      </c>
    </row>
    <row r="38" spans="7:7" x14ac:dyDescent="0.3">
      <c r="G38" s="31" t="s">
        <v>57</v>
      </c>
    </row>
    <row r="39" spans="7:7" x14ac:dyDescent="0.3">
      <c r="G39" s="31" t="s">
        <v>64</v>
      </c>
    </row>
    <row r="40" spans="7:7" x14ac:dyDescent="0.3">
      <c r="G40" s="31" t="s">
        <v>105</v>
      </c>
    </row>
    <row r="41" spans="7:7" x14ac:dyDescent="0.3">
      <c r="G41" s="31" t="s">
        <v>106</v>
      </c>
    </row>
    <row r="42" spans="7:7" x14ac:dyDescent="0.3">
      <c r="G42" s="31" t="s">
        <v>107</v>
      </c>
    </row>
    <row r="43" spans="7:7" x14ac:dyDescent="0.3">
      <c r="G43" s="31" t="s">
        <v>108</v>
      </c>
    </row>
    <row r="44" spans="7:7" x14ac:dyDescent="0.3">
      <c r="G44" s="31" t="s">
        <v>109</v>
      </c>
    </row>
    <row r="45" spans="7:7" x14ac:dyDescent="0.3">
      <c r="G45" s="31" t="s">
        <v>110</v>
      </c>
    </row>
    <row r="46" spans="7:7" x14ac:dyDescent="0.3">
      <c r="G46" s="31" t="s">
        <v>56</v>
      </c>
    </row>
    <row r="47" spans="7:7" x14ac:dyDescent="0.3">
      <c r="G47" s="31" t="s">
        <v>131</v>
      </c>
    </row>
    <row r="48" spans="7:7" x14ac:dyDescent="0.3">
      <c r="G48" s="35" t="s">
        <v>115</v>
      </c>
    </row>
    <row r="49" spans="7:7" x14ac:dyDescent="0.3">
      <c r="G49" s="35" t="s">
        <v>111</v>
      </c>
    </row>
    <row r="50" spans="7:7" x14ac:dyDescent="0.3">
      <c r="G50" s="35" t="s">
        <v>112</v>
      </c>
    </row>
    <row r="51" spans="7:7" x14ac:dyDescent="0.3">
      <c r="G51" s="35" t="s">
        <v>113</v>
      </c>
    </row>
  </sheetData>
  <sheetProtection algorithmName="SHA-512" hashValue="Vv16Q9zAchZvVSEZDSfbCixaLjl792nNtKm/9D1ypDuLFNgwpxYBFkNxkVFXDi4F9xpzXQqwFJ6PB03yYPtxBw==" saltValue="qenmoJn7ImYhoEieJde3AA==" spinCount="100000" sheet="1" objects="1" scenarios="1"/>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DA91-37E5-41A9-8309-353E4BF38EBA}">
  <sheetPr>
    <tabColor theme="4" tint="0.79998168889431442"/>
  </sheetPr>
  <dimension ref="A6:M135"/>
  <sheetViews>
    <sheetView zoomScale="90" zoomScaleNormal="90" workbookViewId="0">
      <pane xSplit="1" ySplit="7" topLeftCell="B8" activePane="bottomRight" state="frozen"/>
      <selection pane="topRight" activeCell="B1" sqref="B1"/>
      <selection pane="bottomLeft" activeCell="A3" sqref="A3"/>
      <selection pane="bottomRight" activeCell="B10" sqref="B10"/>
    </sheetView>
  </sheetViews>
  <sheetFormatPr defaultColWidth="9.140625" defaultRowHeight="15" x14ac:dyDescent="0.3"/>
  <cols>
    <col min="1" max="1" width="34" style="22" bestFit="1" customWidth="1"/>
    <col min="2" max="13" width="23.5703125" style="22" customWidth="1"/>
    <col min="14" max="16384" width="9.140625" style="22"/>
  </cols>
  <sheetData>
    <row r="6" spans="1:13" s="97" customFormat="1" ht="17.25" x14ac:dyDescent="0.35">
      <c r="A6" s="95" t="s">
        <v>132</v>
      </c>
      <c r="B6" s="96"/>
      <c r="C6" s="96"/>
      <c r="D6" s="96"/>
      <c r="E6" s="96"/>
      <c r="F6" s="96"/>
      <c r="G6" s="96"/>
      <c r="H6" s="96"/>
      <c r="I6" s="96"/>
      <c r="J6" s="96"/>
      <c r="K6" s="96"/>
      <c r="L6" s="96"/>
      <c r="M6" s="96"/>
    </row>
    <row r="7" spans="1:13" s="94" customFormat="1" x14ac:dyDescent="0.3">
      <c r="A7" s="92"/>
      <c r="B7" s="48"/>
      <c r="C7" s="48"/>
      <c r="D7" s="48"/>
      <c r="E7" s="93"/>
      <c r="F7" s="48"/>
      <c r="G7" s="48"/>
      <c r="H7" s="48"/>
      <c r="I7" s="48"/>
      <c r="J7" s="48"/>
      <c r="K7" s="48"/>
      <c r="L7" s="48"/>
      <c r="M7" s="48"/>
    </row>
    <row r="8" spans="1:13" ht="15" customHeight="1" x14ac:dyDescent="0.3">
      <c r="A8" s="68" t="s">
        <v>441</v>
      </c>
      <c r="B8" s="204" t="s">
        <v>442</v>
      </c>
      <c r="C8" s="205"/>
      <c r="D8" s="205"/>
      <c r="E8" s="205"/>
      <c r="F8" s="205"/>
      <c r="G8" s="205"/>
      <c r="H8" s="205"/>
      <c r="I8" s="205"/>
      <c r="J8" s="205"/>
      <c r="K8" s="205"/>
      <c r="L8" s="205"/>
      <c r="M8" s="205"/>
    </row>
    <row r="9" spans="1:13" x14ac:dyDescent="0.3">
      <c r="A9" s="51"/>
      <c r="B9" s="55" t="s">
        <v>133</v>
      </c>
      <c r="C9" s="55" t="s">
        <v>134</v>
      </c>
      <c r="D9" s="55" t="s">
        <v>135</v>
      </c>
      <c r="E9" s="55" t="s">
        <v>136</v>
      </c>
      <c r="F9" s="55" t="s">
        <v>137</v>
      </c>
      <c r="G9" s="55" t="s">
        <v>138</v>
      </c>
      <c r="H9" s="55" t="s">
        <v>139</v>
      </c>
      <c r="I9" s="55" t="s">
        <v>140</v>
      </c>
      <c r="J9" s="55" t="s">
        <v>141</v>
      </c>
      <c r="K9" s="55" t="s">
        <v>142</v>
      </c>
      <c r="L9" s="55" t="s">
        <v>143</v>
      </c>
      <c r="M9" s="55" t="s">
        <v>144</v>
      </c>
    </row>
    <row r="10" spans="1:13" x14ac:dyDescent="0.3">
      <c r="A10" s="56" t="s">
        <v>443</v>
      </c>
      <c r="B10" s="69"/>
      <c r="C10" s="69"/>
      <c r="D10" s="69"/>
      <c r="E10" s="69"/>
      <c r="F10" s="69"/>
      <c r="G10" s="69"/>
      <c r="H10" s="69"/>
      <c r="I10" s="69"/>
      <c r="J10" s="69"/>
      <c r="K10" s="69"/>
      <c r="L10" s="69"/>
      <c r="M10" s="69"/>
    </row>
    <row r="11" spans="1:13" x14ac:dyDescent="0.3">
      <c r="A11" s="56" t="s">
        <v>242</v>
      </c>
      <c r="B11" s="69"/>
      <c r="C11" s="69"/>
      <c r="D11" s="69"/>
      <c r="E11" s="69"/>
      <c r="F11" s="69"/>
      <c r="G11" s="69"/>
      <c r="H11" s="69"/>
      <c r="I11" s="69"/>
      <c r="J11" s="69"/>
      <c r="K11" s="69"/>
      <c r="L11" s="69"/>
      <c r="M11" s="69"/>
    </row>
    <row r="13" spans="1:13" ht="15" customHeight="1" x14ac:dyDescent="0.3">
      <c r="A13" s="70" t="s">
        <v>147</v>
      </c>
      <c r="B13" s="202" t="s">
        <v>417</v>
      </c>
      <c r="C13" s="202"/>
      <c r="D13" s="202"/>
      <c r="E13" s="202"/>
      <c r="F13" s="202"/>
      <c r="G13" s="202"/>
      <c r="H13" s="202"/>
      <c r="I13" s="202"/>
      <c r="J13" s="202"/>
      <c r="K13" s="202"/>
      <c r="L13" s="202"/>
      <c r="M13" s="202"/>
    </row>
    <row r="14" spans="1:13" x14ac:dyDescent="0.3">
      <c r="A14" s="51"/>
      <c r="B14" s="55" t="s">
        <v>133</v>
      </c>
      <c r="C14" s="55" t="s">
        <v>134</v>
      </c>
      <c r="D14" s="55" t="s">
        <v>135</v>
      </c>
      <c r="E14" s="55" t="s">
        <v>136</v>
      </c>
      <c r="F14" s="55" t="s">
        <v>137</v>
      </c>
      <c r="G14" s="55" t="s">
        <v>138</v>
      </c>
      <c r="H14" s="55" t="s">
        <v>139</v>
      </c>
      <c r="I14" s="55" t="s">
        <v>140</v>
      </c>
      <c r="J14" s="55" t="s">
        <v>141</v>
      </c>
      <c r="K14" s="55" t="s">
        <v>142</v>
      </c>
      <c r="L14" s="55" t="s">
        <v>143</v>
      </c>
      <c r="M14" s="55" t="s">
        <v>144</v>
      </c>
    </row>
    <row r="15" spans="1:13" x14ac:dyDescent="0.3">
      <c r="A15" s="56" t="s">
        <v>148</v>
      </c>
      <c r="B15" s="69"/>
      <c r="C15" s="69"/>
      <c r="D15" s="69"/>
      <c r="E15" s="69"/>
      <c r="F15" s="69"/>
      <c r="G15" s="69"/>
      <c r="H15" s="69"/>
      <c r="I15" s="69"/>
      <c r="J15" s="69"/>
      <c r="K15" s="69"/>
      <c r="L15" s="69"/>
      <c r="M15" s="69"/>
    </row>
    <row r="17" spans="1:13" ht="15" customHeight="1" x14ac:dyDescent="0.3">
      <c r="A17" s="70" t="s">
        <v>149</v>
      </c>
      <c r="B17" s="202" t="s">
        <v>413</v>
      </c>
      <c r="C17" s="202"/>
      <c r="D17" s="202"/>
      <c r="E17" s="202"/>
      <c r="F17" s="202"/>
      <c r="G17" s="202"/>
      <c r="H17" s="202"/>
      <c r="I17" s="202"/>
      <c r="J17" s="202"/>
      <c r="K17" s="202"/>
      <c r="L17" s="202"/>
      <c r="M17" s="202"/>
    </row>
    <row r="18" spans="1:13" x14ac:dyDescent="0.3">
      <c r="A18" s="51"/>
      <c r="B18" s="55" t="s">
        <v>133</v>
      </c>
      <c r="C18" s="55" t="s">
        <v>134</v>
      </c>
      <c r="D18" s="55" t="s">
        <v>135</v>
      </c>
      <c r="E18" s="55" t="s">
        <v>136</v>
      </c>
      <c r="F18" s="55" t="s">
        <v>137</v>
      </c>
      <c r="G18" s="55" t="s">
        <v>138</v>
      </c>
      <c r="H18" s="55" t="s">
        <v>139</v>
      </c>
      <c r="I18" s="55" t="s">
        <v>140</v>
      </c>
      <c r="J18" s="55" t="s">
        <v>141</v>
      </c>
      <c r="K18" s="55" t="s">
        <v>142</v>
      </c>
      <c r="L18" s="55" t="s">
        <v>143</v>
      </c>
      <c r="M18" s="55" t="s">
        <v>144</v>
      </c>
    </row>
    <row r="19" spans="1:13" x14ac:dyDescent="0.3">
      <c r="A19" s="56" t="s">
        <v>145</v>
      </c>
      <c r="B19" s="71"/>
      <c r="C19" s="71"/>
      <c r="D19" s="71"/>
      <c r="E19" s="71"/>
      <c r="F19" s="71"/>
      <c r="G19" s="71"/>
      <c r="H19" s="71"/>
      <c r="I19" s="71"/>
      <c r="J19" s="71"/>
      <c r="K19" s="71"/>
      <c r="L19" s="71"/>
      <c r="M19" s="71"/>
    </row>
    <row r="20" spans="1:13" x14ac:dyDescent="0.3">
      <c r="A20" s="56" t="s">
        <v>146</v>
      </c>
      <c r="B20" s="71"/>
      <c r="C20" s="71"/>
      <c r="D20" s="71"/>
      <c r="E20" s="71"/>
      <c r="F20" s="71"/>
      <c r="G20" s="71"/>
      <c r="H20" s="71"/>
      <c r="I20" s="71"/>
      <c r="J20" s="71"/>
      <c r="K20" s="71"/>
      <c r="L20" s="71"/>
      <c r="M20" s="71"/>
    </row>
    <row r="22" spans="1:13" x14ac:dyDescent="0.3">
      <c r="A22" s="70" t="s">
        <v>150</v>
      </c>
      <c r="B22" s="202" t="s">
        <v>414</v>
      </c>
      <c r="C22" s="202"/>
      <c r="D22" s="202"/>
      <c r="E22" s="202"/>
      <c r="F22" s="202"/>
      <c r="G22" s="202"/>
      <c r="H22" s="202"/>
      <c r="I22" s="202"/>
      <c r="J22" s="202"/>
      <c r="K22" s="202"/>
      <c r="L22" s="202"/>
      <c r="M22" s="202"/>
    </row>
    <row r="23" spans="1:13" x14ac:dyDescent="0.3">
      <c r="A23" s="51"/>
      <c r="B23" s="55" t="s">
        <v>133</v>
      </c>
      <c r="C23" s="55" t="s">
        <v>134</v>
      </c>
      <c r="D23" s="55" t="s">
        <v>135</v>
      </c>
      <c r="E23" s="55" t="s">
        <v>136</v>
      </c>
      <c r="F23" s="55" t="s">
        <v>137</v>
      </c>
      <c r="G23" s="55" t="s">
        <v>138</v>
      </c>
      <c r="H23" s="55" t="s">
        <v>139</v>
      </c>
      <c r="I23" s="55" t="s">
        <v>140</v>
      </c>
      <c r="J23" s="55" t="s">
        <v>141</v>
      </c>
      <c r="K23" s="55" t="s">
        <v>142</v>
      </c>
      <c r="L23" s="55" t="s">
        <v>143</v>
      </c>
      <c r="M23" s="55" t="s">
        <v>144</v>
      </c>
    </row>
    <row r="24" spans="1:13" x14ac:dyDescent="0.3">
      <c r="A24" s="56" t="s">
        <v>145</v>
      </c>
      <c r="B24" s="72"/>
      <c r="C24" s="72"/>
      <c r="D24" s="72"/>
      <c r="E24" s="72"/>
      <c r="F24" s="72"/>
      <c r="G24" s="72"/>
      <c r="H24" s="72"/>
      <c r="I24" s="72"/>
      <c r="J24" s="72"/>
      <c r="K24" s="72"/>
      <c r="L24" s="72"/>
      <c r="M24" s="72"/>
    </row>
    <row r="25" spans="1:13" x14ac:dyDescent="0.3">
      <c r="A25" s="56" t="s">
        <v>242</v>
      </c>
      <c r="B25" s="72"/>
      <c r="C25" s="72"/>
      <c r="D25" s="72"/>
      <c r="E25" s="72"/>
      <c r="F25" s="72"/>
      <c r="G25" s="72"/>
      <c r="H25" s="72"/>
      <c r="I25" s="72"/>
      <c r="J25" s="72"/>
      <c r="K25" s="72"/>
      <c r="L25" s="72"/>
      <c r="M25" s="72"/>
    </row>
    <row r="27" spans="1:13" x14ac:dyDescent="0.3">
      <c r="A27" s="70" t="s">
        <v>151</v>
      </c>
      <c r="B27" s="202" t="s">
        <v>415</v>
      </c>
      <c r="C27" s="202"/>
      <c r="D27" s="202"/>
      <c r="E27" s="202"/>
      <c r="F27" s="202"/>
      <c r="G27" s="202"/>
      <c r="H27" s="202"/>
      <c r="I27" s="202"/>
      <c r="J27" s="202"/>
      <c r="K27" s="202"/>
      <c r="L27" s="202"/>
      <c r="M27" s="202"/>
    </row>
    <row r="28" spans="1:13" x14ac:dyDescent="0.3">
      <c r="A28" s="51"/>
      <c r="B28" s="55" t="s">
        <v>133</v>
      </c>
      <c r="C28" s="55" t="s">
        <v>134</v>
      </c>
      <c r="D28" s="55" t="s">
        <v>135</v>
      </c>
      <c r="E28" s="55" t="s">
        <v>136</v>
      </c>
      <c r="F28" s="55" t="s">
        <v>137</v>
      </c>
      <c r="G28" s="55" t="s">
        <v>138</v>
      </c>
      <c r="H28" s="55" t="s">
        <v>139</v>
      </c>
      <c r="I28" s="55" t="s">
        <v>140</v>
      </c>
      <c r="J28" s="55" t="s">
        <v>141</v>
      </c>
      <c r="K28" s="55" t="s">
        <v>142</v>
      </c>
      <c r="L28" s="55" t="s">
        <v>143</v>
      </c>
      <c r="M28" s="55" t="s">
        <v>144</v>
      </c>
    </row>
    <row r="29" spans="1:13" x14ac:dyDescent="0.3">
      <c r="A29" s="56" t="s">
        <v>145</v>
      </c>
      <c r="B29" s="72"/>
      <c r="C29" s="72"/>
      <c r="D29" s="72"/>
      <c r="E29" s="72"/>
      <c r="F29" s="72"/>
      <c r="G29" s="72"/>
      <c r="H29" s="72"/>
      <c r="I29" s="72"/>
      <c r="J29" s="72"/>
      <c r="K29" s="72"/>
      <c r="L29" s="72"/>
      <c r="M29" s="72"/>
    </row>
    <row r="30" spans="1:13" x14ac:dyDescent="0.3">
      <c r="A30" s="56" t="s">
        <v>242</v>
      </c>
      <c r="B30" s="72"/>
      <c r="C30" s="72"/>
      <c r="D30" s="72"/>
      <c r="E30" s="72"/>
      <c r="F30" s="72"/>
      <c r="G30" s="72"/>
      <c r="H30" s="72"/>
      <c r="I30" s="72"/>
      <c r="J30" s="72"/>
      <c r="K30" s="72"/>
      <c r="L30" s="72"/>
      <c r="M30" s="72"/>
    </row>
    <row r="32" spans="1:13" ht="15" customHeight="1" x14ac:dyDescent="0.3">
      <c r="A32" s="70" t="s">
        <v>152</v>
      </c>
      <c r="B32" s="202" t="s">
        <v>416</v>
      </c>
      <c r="C32" s="202"/>
      <c r="D32" s="202"/>
      <c r="E32" s="202"/>
      <c r="F32" s="202"/>
      <c r="G32" s="202"/>
      <c r="H32" s="202"/>
      <c r="I32" s="202"/>
      <c r="J32" s="202"/>
      <c r="K32" s="202"/>
      <c r="L32" s="202"/>
      <c r="M32" s="202"/>
    </row>
    <row r="33" spans="1:13" x14ac:dyDescent="0.3">
      <c r="A33" s="51"/>
      <c r="B33" s="55" t="s">
        <v>133</v>
      </c>
      <c r="C33" s="55" t="s">
        <v>134</v>
      </c>
      <c r="D33" s="55" t="s">
        <v>135</v>
      </c>
      <c r="E33" s="55" t="s">
        <v>136</v>
      </c>
      <c r="F33" s="55" t="s">
        <v>137</v>
      </c>
      <c r="G33" s="55" t="s">
        <v>138</v>
      </c>
      <c r="H33" s="55" t="s">
        <v>139</v>
      </c>
      <c r="I33" s="55" t="s">
        <v>140</v>
      </c>
      <c r="J33" s="55" t="s">
        <v>141</v>
      </c>
      <c r="K33" s="55" t="s">
        <v>142</v>
      </c>
      <c r="L33" s="55" t="s">
        <v>143</v>
      </c>
      <c r="M33" s="55" t="s">
        <v>144</v>
      </c>
    </row>
    <row r="34" spans="1:13" x14ac:dyDescent="0.3">
      <c r="A34" s="56" t="s">
        <v>145</v>
      </c>
      <c r="B34" s="73"/>
      <c r="C34" s="73"/>
      <c r="D34" s="73"/>
      <c r="E34" s="73"/>
      <c r="F34" s="73"/>
      <c r="G34" s="73"/>
      <c r="H34" s="73"/>
      <c r="I34" s="73"/>
      <c r="J34" s="73"/>
      <c r="K34" s="73"/>
      <c r="L34" s="73"/>
      <c r="M34" s="73"/>
    </row>
    <row r="35" spans="1:13" x14ac:dyDescent="0.3">
      <c r="A35" s="56" t="s">
        <v>242</v>
      </c>
      <c r="B35" s="73"/>
      <c r="C35" s="73"/>
      <c r="D35" s="73"/>
      <c r="E35" s="73"/>
      <c r="F35" s="73"/>
      <c r="G35" s="73"/>
      <c r="H35" s="73"/>
      <c r="I35" s="73"/>
      <c r="J35" s="73"/>
      <c r="K35" s="73"/>
      <c r="L35" s="73"/>
      <c r="M35" s="73"/>
    </row>
    <row r="36" spans="1:13" x14ac:dyDescent="0.3">
      <c r="A36" s="56" t="s">
        <v>148</v>
      </c>
      <c r="B36" s="73"/>
      <c r="C36" s="73"/>
      <c r="D36" s="73"/>
      <c r="E36" s="73"/>
      <c r="F36" s="73"/>
      <c r="G36" s="73"/>
      <c r="H36" s="73"/>
      <c r="I36" s="73"/>
      <c r="J36" s="73"/>
      <c r="K36" s="73"/>
      <c r="L36" s="73"/>
      <c r="M36" s="73"/>
    </row>
    <row r="38" spans="1:13" ht="15" customHeight="1" x14ac:dyDescent="0.3">
      <c r="A38" s="70" t="s">
        <v>154</v>
      </c>
      <c r="B38" s="202" t="s">
        <v>418</v>
      </c>
      <c r="C38" s="202"/>
      <c r="D38" s="202"/>
      <c r="E38" s="202"/>
      <c r="F38" s="202"/>
      <c r="G38" s="202"/>
      <c r="H38" s="202"/>
      <c r="I38" s="202"/>
      <c r="J38" s="202"/>
      <c r="K38" s="202"/>
      <c r="L38" s="202"/>
      <c r="M38" s="202"/>
    </row>
    <row r="39" spans="1:13" x14ac:dyDescent="0.3">
      <c r="A39" s="51"/>
      <c r="B39" s="55" t="s">
        <v>133</v>
      </c>
      <c r="C39" s="55" t="s">
        <v>134</v>
      </c>
      <c r="D39" s="55" t="s">
        <v>135</v>
      </c>
      <c r="E39" s="55" t="s">
        <v>136</v>
      </c>
      <c r="F39" s="55" t="s">
        <v>137</v>
      </c>
      <c r="G39" s="55" t="s">
        <v>138</v>
      </c>
      <c r="H39" s="55" t="s">
        <v>139</v>
      </c>
      <c r="I39" s="55" t="s">
        <v>140</v>
      </c>
      <c r="J39" s="55" t="s">
        <v>141</v>
      </c>
      <c r="K39" s="55" t="s">
        <v>142</v>
      </c>
      <c r="L39" s="55" t="s">
        <v>143</v>
      </c>
      <c r="M39" s="55" t="s">
        <v>144</v>
      </c>
    </row>
    <row r="40" spans="1:13" x14ac:dyDescent="0.3">
      <c r="A40" s="56" t="s">
        <v>145</v>
      </c>
      <c r="B40" s="74"/>
      <c r="C40" s="74"/>
      <c r="D40" s="74"/>
      <c r="E40" s="74"/>
      <c r="F40" s="74"/>
      <c r="G40" s="74"/>
      <c r="H40" s="74"/>
      <c r="I40" s="74"/>
      <c r="J40" s="74"/>
      <c r="K40" s="74"/>
      <c r="L40" s="74"/>
      <c r="M40" s="74"/>
    </row>
    <row r="41" spans="1:13" x14ac:dyDescent="0.3">
      <c r="A41" s="56" t="s">
        <v>242</v>
      </c>
      <c r="B41" s="74"/>
      <c r="C41" s="74"/>
      <c r="D41" s="74"/>
      <c r="E41" s="74"/>
      <c r="F41" s="74"/>
      <c r="G41" s="74"/>
      <c r="H41" s="74"/>
      <c r="I41" s="74"/>
      <c r="J41" s="74"/>
      <c r="K41" s="74"/>
      <c r="L41" s="74"/>
      <c r="M41" s="74"/>
    </row>
    <row r="42" spans="1:13" x14ac:dyDescent="0.3">
      <c r="A42" s="56" t="s">
        <v>148</v>
      </c>
      <c r="B42" s="74"/>
      <c r="C42" s="74"/>
      <c r="D42" s="74"/>
      <c r="E42" s="74"/>
      <c r="F42" s="74"/>
      <c r="G42" s="74"/>
      <c r="H42" s="74"/>
      <c r="I42" s="74"/>
      <c r="J42" s="74"/>
      <c r="K42" s="74"/>
      <c r="L42" s="74"/>
      <c r="M42" s="74"/>
    </row>
    <row r="44" spans="1:13" ht="15" customHeight="1" x14ac:dyDescent="0.3">
      <c r="A44" s="70" t="s">
        <v>155</v>
      </c>
      <c r="B44" s="202" t="s">
        <v>419</v>
      </c>
      <c r="C44" s="202"/>
      <c r="D44" s="202"/>
      <c r="E44" s="202"/>
      <c r="F44" s="202"/>
      <c r="G44" s="202"/>
      <c r="H44" s="202"/>
      <c r="I44" s="202"/>
      <c r="J44" s="202"/>
      <c r="K44" s="202"/>
      <c r="L44" s="202"/>
      <c r="M44" s="202"/>
    </row>
    <row r="45" spans="1:13" x14ac:dyDescent="0.3">
      <c r="A45" s="51"/>
      <c r="B45" s="55" t="s">
        <v>133</v>
      </c>
      <c r="C45" s="55" t="s">
        <v>134</v>
      </c>
      <c r="D45" s="55" t="s">
        <v>135</v>
      </c>
      <c r="E45" s="55" t="s">
        <v>136</v>
      </c>
      <c r="F45" s="55" t="s">
        <v>137</v>
      </c>
      <c r="G45" s="55" t="s">
        <v>138</v>
      </c>
      <c r="H45" s="55" t="s">
        <v>139</v>
      </c>
      <c r="I45" s="55" t="s">
        <v>140</v>
      </c>
      <c r="J45" s="55" t="s">
        <v>141</v>
      </c>
      <c r="K45" s="55" t="s">
        <v>142</v>
      </c>
      <c r="L45" s="55" t="s">
        <v>143</v>
      </c>
      <c r="M45" s="55" t="s">
        <v>144</v>
      </c>
    </row>
    <row r="46" spans="1:13" x14ac:dyDescent="0.3">
      <c r="A46" s="56" t="s">
        <v>145</v>
      </c>
      <c r="B46" s="74"/>
      <c r="C46" s="74"/>
      <c r="D46" s="74"/>
      <c r="E46" s="74"/>
      <c r="F46" s="74"/>
      <c r="G46" s="74"/>
      <c r="H46" s="74"/>
      <c r="I46" s="74"/>
      <c r="J46" s="74"/>
      <c r="K46" s="74"/>
      <c r="L46" s="74"/>
      <c r="M46" s="74"/>
    </row>
    <row r="47" spans="1:13" x14ac:dyDescent="0.3">
      <c r="A47" s="56" t="s">
        <v>242</v>
      </c>
      <c r="B47" s="74"/>
      <c r="C47" s="74"/>
      <c r="D47" s="74"/>
      <c r="E47" s="74"/>
      <c r="F47" s="74"/>
      <c r="G47" s="74"/>
      <c r="H47" s="74"/>
      <c r="I47" s="74"/>
      <c r="J47" s="74"/>
      <c r="K47" s="74"/>
      <c r="L47" s="74"/>
      <c r="M47" s="74"/>
    </row>
    <row r="48" spans="1:13" x14ac:dyDescent="0.3">
      <c r="A48" s="56" t="s">
        <v>148</v>
      </c>
      <c r="B48" s="74"/>
      <c r="C48" s="74"/>
      <c r="D48" s="74"/>
      <c r="E48" s="74"/>
      <c r="F48" s="74"/>
      <c r="G48" s="74"/>
      <c r="H48" s="74"/>
      <c r="I48" s="74"/>
      <c r="J48" s="74"/>
      <c r="K48" s="74"/>
      <c r="L48" s="74"/>
      <c r="M48" s="74"/>
    </row>
    <row r="50" spans="1:13" ht="15" customHeight="1" x14ac:dyDescent="0.3">
      <c r="A50" s="70" t="s">
        <v>156</v>
      </c>
      <c r="B50" s="202" t="s">
        <v>420</v>
      </c>
      <c r="C50" s="202"/>
      <c r="D50" s="202"/>
      <c r="E50" s="202"/>
      <c r="F50" s="202"/>
      <c r="G50" s="202"/>
      <c r="H50" s="202"/>
      <c r="I50" s="202"/>
      <c r="J50" s="202"/>
      <c r="K50" s="202"/>
      <c r="L50" s="202"/>
      <c r="M50" s="202"/>
    </row>
    <row r="51" spans="1:13" x14ac:dyDescent="0.3">
      <c r="A51" s="51"/>
      <c r="B51" s="55" t="s">
        <v>133</v>
      </c>
      <c r="C51" s="55" t="s">
        <v>134</v>
      </c>
      <c r="D51" s="55" t="s">
        <v>135</v>
      </c>
      <c r="E51" s="55" t="s">
        <v>136</v>
      </c>
      <c r="F51" s="55" t="s">
        <v>137</v>
      </c>
      <c r="G51" s="55" t="s">
        <v>138</v>
      </c>
      <c r="H51" s="55" t="s">
        <v>139</v>
      </c>
      <c r="I51" s="55" t="s">
        <v>140</v>
      </c>
      <c r="J51" s="55" t="s">
        <v>141</v>
      </c>
      <c r="K51" s="55" t="s">
        <v>142</v>
      </c>
      <c r="L51" s="55" t="s">
        <v>143</v>
      </c>
      <c r="M51" s="55" t="s">
        <v>144</v>
      </c>
    </row>
    <row r="52" spans="1:13" x14ac:dyDescent="0.3">
      <c r="A52" s="56" t="s">
        <v>145</v>
      </c>
      <c r="B52" s="74"/>
      <c r="C52" s="74"/>
      <c r="D52" s="74"/>
      <c r="E52" s="74"/>
      <c r="F52" s="74"/>
      <c r="G52" s="74"/>
      <c r="H52" s="74"/>
      <c r="I52" s="74"/>
      <c r="J52" s="74"/>
      <c r="K52" s="74"/>
      <c r="L52" s="74"/>
      <c r="M52" s="74"/>
    </row>
    <row r="53" spans="1:13" x14ac:dyDescent="0.3">
      <c r="A53" s="56" t="s">
        <v>242</v>
      </c>
      <c r="B53" s="74"/>
      <c r="C53" s="74"/>
      <c r="D53" s="74"/>
      <c r="E53" s="74"/>
      <c r="F53" s="74"/>
      <c r="G53" s="74"/>
      <c r="H53" s="74"/>
      <c r="I53" s="74"/>
      <c r="J53" s="74"/>
      <c r="K53" s="74"/>
      <c r="L53" s="74"/>
      <c r="M53" s="74"/>
    </row>
    <row r="54" spans="1:13" x14ac:dyDescent="0.3">
      <c r="A54" s="56" t="s">
        <v>148</v>
      </c>
      <c r="B54" s="74"/>
      <c r="C54" s="74"/>
      <c r="D54" s="74"/>
      <c r="E54" s="74"/>
      <c r="F54" s="74"/>
      <c r="G54" s="74"/>
      <c r="H54" s="74"/>
      <c r="I54" s="74"/>
      <c r="J54" s="74"/>
      <c r="K54" s="74"/>
      <c r="L54" s="74"/>
      <c r="M54" s="74"/>
    </row>
    <row r="56" spans="1:13" x14ac:dyDescent="0.3">
      <c r="A56" s="70" t="s">
        <v>157</v>
      </c>
      <c r="B56" s="202" t="s">
        <v>421</v>
      </c>
      <c r="C56" s="202"/>
      <c r="D56" s="202"/>
      <c r="E56" s="202"/>
      <c r="F56" s="202"/>
      <c r="G56" s="202"/>
      <c r="H56" s="202"/>
      <c r="I56" s="202"/>
      <c r="J56" s="202"/>
      <c r="K56" s="202"/>
      <c r="L56" s="202"/>
      <c r="M56" s="202"/>
    </row>
    <row r="57" spans="1:13" x14ac:dyDescent="0.3">
      <c r="A57" s="51"/>
      <c r="B57" s="55" t="s">
        <v>133</v>
      </c>
      <c r="C57" s="55" t="s">
        <v>134</v>
      </c>
      <c r="D57" s="55" t="s">
        <v>135</v>
      </c>
      <c r="E57" s="55" t="s">
        <v>136</v>
      </c>
      <c r="F57" s="55" t="s">
        <v>137</v>
      </c>
      <c r="G57" s="55" t="s">
        <v>138</v>
      </c>
      <c r="H57" s="55" t="s">
        <v>139</v>
      </c>
      <c r="I57" s="55" t="s">
        <v>140</v>
      </c>
      <c r="J57" s="55" t="s">
        <v>141</v>
      </c>
      <c r="K57" s="55" t="s">
        <v>142</v>
      </c>
      <c r="L57" s="55" t="s">
        <v>143</v>
      </c>
      <c r="M57" s="55" t="s">
        <v>144</v>
      </c>
    </row>
    <row r="58" spans="1:13" x14ac:dyDescent="0.3">
      <c r="A58" s="56" t="s">
        <v>145</v>
      </c>
      <c r="B58" s="74"/>
      <c r="C58" s="74"/>
      <c r="D58" s="74"/>
      <c r="E58" s="74"/>
      <c r="F58" s="74"/>
      <c r="G58" s="74"/>
      <c r="H58" s="74"/>
      <c r="I58" s="74"/>
      <c r="J58" s="74"/>
      <c r="K58" s="74"/>
      <c r="L58" s="74"/>
      <c r="M58" s="74"/>
    </row>
    <row r="59" spans="1:13" x14ac:dyDescent="0.3">
      <c r="A59" s="56" t="s">
        <v>242</v>
      </c>
      <c r="B59" s="74"/>
      <c r="C59" s="74"/>
      <c r="D59" s="74"/>
      <c r="E59" s="74"/>
      <c r="F59" s="74"/>
      <c r="G59" s="74"/>
      <c r="H59" s="74"/>
      <c r="I59" s="74"/>
      <c r="J59" s="74"/>
      <c r="K59" s="74"/>
      <c r="L59" s="74"/>
      <c r="M59" s="74"/>
    </row>
    <row r="60" spans="1:13" x14ac:dyDescent="0.3">
      <c r="A60" s="56" t="s">
        <v>148</v>
      </c>
      <c r="B60" s="74"/>
      <c r="C60" s="74"/>
      <c r="D60" s="74"/>
      <c r="E60" s="74"/>
      <c r="F60" s="74"/>
      <c r="G60" s="74"/>
      <c r="H60" s="74"/>
      <c r="I60" s="74"/>
      <c r="J60" s="74"/>
      <c r="K60" s="74"/>
      <c r="L60" s="74"/>
      <c r="M60" s="74"/>
    </row>
    <row r="62" spans="1:13" x14ac:dyDescent="0.3">
      <c r="A62" s="70" t="s">
        <v>158</v>
      </c>
      <c r="B62" s="202" t="s">
        <v>245</v>
      </c>
      <c r="C62" s="202"/>
      <c r="D62" s="202"/>
      <c r="E62" s="202"/>
      <c r="F62" s="202"/>
      <c r="G62" s="202"/>
      <c r="H62" s="202"/>
      <c r="I62" s="202"/>
      <c r="J62" s="202"/>
      <c r="K62" s="202"/>
      <c r="L62" s="202"/>
      <c r="M62" s="202"/>
    </row>
    <row r="63" spans="1:13" x14ac:dyDescent="0.3">
      <c r="A63" s="51"/>
      <c r="B63" s="55" t="s">
        <v>133</v>
      </c>
      <c r="C63" s="55" t="s">
        <v>134</v>
      </c>
      <c r="D63" s="55" t="s">
        <v>135</v>
      </c>
      <c r="E63" s="55" t="s">
        <v>136</v>
      </c>
      <c r="F63" s="55" t="s">
        <v>137</v>
      </c>
      <c r="G63" s="55" t="s">
        <v>138</v>
      </c>
      <c r="H63" s="55" t="s">
        <v>139</v>
      </c>
      <c r="I63" s="55" t="s">
        <v>140</v>
      </c>
      <c r="J63" s="55" t="s">
        <v>141</v>
      </c>
      <c r="K63" s="55" t="s">
        <v>142</v>
      </c>
      <c r="L63" s="55" t="s">
        <v>143</v>
      </c>
      <c r="M63" s="55" t="s">
        <v>144</v>
      </c>
    </row>
    <row r="64" spans="1:13" x14ac:dyDescent="0.3">
      <c r="A64" s="56" t="s">
        <v>145</v>
      </c>
      <c r="B64" s="74"/>
      <c r="C64" s="74"/>
      <c r="D64" s="74"/>
      <c r="E64" s="74"/>
      <c r="F64" s="74"/>
      <c r="G64" s="74"/>
      <c r="H64" s="74"/>
      <c r="I64" s="74"/>
      <c r="J64" s="74"/>
      <c r="K64" s="74"/>
      <c r="L64" s="74"/>
      <c r="M64" s="74"/>
    </row>
    <row r="65" spans="1:13" x14ac:dyDescent="0.3">
      <c r="A65" s="56" t="s">
        <v>242</v>
      </c>
      <c r="B65" s="74"/>
      <c r="C65" s="74"/>
      <c r="D65" s="74"/>
      <c r="E65" s="74"/>
      <c r="F65" s="74"/>
      <c r="G65" s="74"/>
      <c r="H65" s="74"/>
      <c r="I65" s="74"/>
      <c r="J65" s="74"/>
      <c r="K65" s="74"/>
      <c r="L65" s="74"/>
      <c r="M65" s="74"/>
    </row>
    <row r="66" spans="1:13" x14ac:dyDescent="0.3">
      <c r="A66" s="56" t="s">
        <v>148</v>
      </c>
      <c r="B66" s="74"/>
      <c r="C66" s="74"/>
      <c r="D66" s="74"/>
      <c r="E66" s="74"/>
      <c r="F66" s="74"/>
      <c r="G66" s="74"/>
      <c r="H66" s="74"/>
      <c r="I66" s="74"/>
      <c r="J66" s="74"/>
      <c r="K66" s="74"/>
      <c r="L66" s="74"/>
      <c r="M66" s="74"/>
    </row>
    <row r="68" spans="1:13" x14ac:dyDescent="0.3">
      <c r="A68" s="70" t="s">
        <v>159</v>
      </c>
      <c r="B68" s="202" t="s">
        <v>170</v>
      </c>
      <c r="C68" s="202"/>
      <c r="D68" s="202"/>
      <c r="E68" s="202"/>
      <c r="F68" s="202"/>
      <c r="G68" s="202"/>
      <c r="H68" s="202"/>
      <c r="I68" s="202"/>
      <c r="J68" s="202"/>
      <c r="K68" s="202"/>
      <c r="L68" s="202"/>
      <c r="M68" s="202"/>
    </row>
    <row r="69" spans="1:13" x14ac:dyDescent="0.3">
      <c r="A69" s="51"/>
      <c r="B69" s="55" t="s">
        <v>133</v>
      </c>
      <c r="C69" s="55" t="s">
        <v>134</v>
      </c>
      <c r="D69" s="55" t="s">
        <v>135</v>
      </c>
      <c r="E69" s="55" t="s">
        <v>136</v>
      </c>
      <c r="F69" s="55" t="s">
        <v>137</v>
      </c>
      <c r="G69" s="55" t="s">
        <v>138</v>
      </c>
      <c r="H69" s="55" t="s">
        <v>139</v>
      </c>
      <c r="I69" s="55" t="s">
        <v>140</v>
      </c>
      <c r="J69" s="55" t="s">
        <v>141</v>
      </c>
      <c r="K69" s="55" t="s">
        <v>142</v>
      </c>
      <c r="L69" s="55" t="s">
        <v>143</v>
      </c>
      <c r="M69" s="55" t="s">
        <v>144</v>
      </c>
    </row>
    <row r="70" spans="1:13" x14ac:dyDescent="0.3">
      <c r="A70" s="56" t="s">
        <v>145</v>
      </c>
      <c r="B70" s="73"/>
      <c r="C70" s="73"/>
      <c r="D70" s="73"/>
      <c r="E70" s="73"/>
      <c r="F70" s="73"/>
      <c r="G70" s="73"/>
      <c r="H70" s="73"/>
      <c r="I70" s="73"/>
      <c r="J70" s="73"/>
      <c r="K70" s="73"/>
      <c r="L70" s="73"/>
      <c r="M70" s="73"/>
    </row>
    <row r="71" spans="1:13" x14ac:dyDescent="0.3">
      <c r="A71" s="56" t="s">
        <v>242</v>
      </c>
      <c r="B71" s="73"/>
      <c r="C71" s="73"/>
      <c r="D71" s="73"/>
      <c r="E71" s="73"/>
      <c r="F71" s="73"/>
      <c r="G71" s="73"/>
      <c r="H71" s="73"/>
      <c r="I71" s="73"/>
      <c r="J71" s="73"/>
      <c r="K71" s="73"/>
      <c r="L71" s="73"/>
      <c r="M71" s="73"/>
    </row>
    <row r="72" spans="1:13" x14ac:dyDescent="0.3">
      <c r="A72" s="56" t="s">
        <v>148</v>
      </c>
      <c r="B72" s="73"/>
      <c r="C72" s="73"/>
      <c r="D72" s="73"/>
      <c r="E72" s="73"/>
      <c r="F72" s="73"/>
      <c r="G72" s="73"/>
      <c r="H72" s="73"/>
      <c r="I72" s="73"/>
      <c r="J72" s="73"/>
      <c r="K72" s="73"/>
      <c r="L72" s="73"/>
      <c r="M72" s="73"/>
    </row>
    <row r="74" spans="1:13" s="94" customFormat="1" ht="17.25" x14ac:dyDescent="0.35">
      <c r="A74" s="112" t="s">
        <v>237</v>
      </c>
      <c r="B74" s="203"/>
      <c r="C74" s="203"/>
      <c r="D74" s="203"/>
      <c r="E74" s="203"/>
      <c r="F74" s="203"/>
      <c r="G74" s="203"/>
      <c r="H74" s="203"/>
      <c r="I74" s="203"/>
      <c r="J74" s="203"/>
      <c r="K74" s="203"/>
      <c r="L74" s="203"/>
      <c r="M74" s="203"/>
    </row>
    <row r="75" spans="1:13" x14ac:dyDescent="0.3">
      <c r="A75" s="70" t="s">
        <v>226</v>
      </c>
      <c r="B75" s="202" t="s">
        <v>244</v>
      </c>
      <c r="C75" s="202"/>
      <c r="D75" s="202"/>
      <c r="E75" s="202"/>
      <c r="F75" s="202"/>
      <c r="G75" s="202"/>
      <c r="H75" s="202"/>
      <c r="I75" s="202"/>
      <c r="J75" s="202"/>
      <c r="K75" s="202"/>
      <c r="L75" s="202"/>
      <c r="M75" s="202"/>
    </row>
    <row r="76" spans="1:13" x14ac:dyDescent="0.3">
      <c r="A76" s="51"/>
      <c r="B76" s="55" t="s">
        <v>133</v>
      </c>
      <c r="C76" s="55" t="s">
        <v>134</v>
      </c>
      <c r="D76" s="55" t="s">
        <v>135</v>
      </c>
      <c r="E76" s="55" t="s">
        <v>136</v>
      </c>
      <c r="F76" s="55" t="s">
        <v>137</v>
      </c>
      <c r="G76" s="55" t="s">
        <v>138</v>
      </c>
      <c r="H76" s="55" t="s">
        <v>139</v>
      </c>
      <c r="I76" s="55" t="s">
        <v>140</v>
      </c>
      <c r="J76" s="55" t="s">
        <v>141</v>
      </c>
      <c r="K76" s="55" t="s">
        <v>142</v>
      </c>
      <c r="L76" s="55" t="s">
        <v>143</v>
      </c>
      <c r="M76" s="55" t="s">
        <v>144</v>
      </c>
    </row>
    <row r="77" spans="1:13" x14ac:dyDescent="0.3">
      <c r="A77" s="56" t="s">
        <v>227</v>
      </c>
      <c r="B77" s="72"/>
      <c r="C77" s="72"/>
      <c r="D77" s="72"/>
      <c r="E77" s="72"/>
      <c r="F77" s="72"/>
      <c r="G77" s="72"/>
      <c r="H77" s="72"/>
      <c r="I77" s="72"/>
      <c r="J77" s="72"/>
      <c r="K77" s="72"/>
      <c r="L77" s="72"/>
      <c r="M77" s="72"/>
    </row>
    <row r="78" spans="1:13" x14ac:dyDescent="0.3">
      <c r="A78" s="56" t="s">
        <v>228</v>
      </c>
      <c r="B78" s="72"/>
      <c r="C78" s="72"/>
      <c r="D78" s="72"/>
      <c r="E78" s="72"/>
      <c r="F78" s="72"/>
      <c r="G78" s="72"/>
      <c r="H78" s="72"/>
      <c r="I78" s="72"/>
      <c r="J78" s="72"/>
      <c r="K78" s="72"/>
      <c r="L78" s="72"/>
      <c r="M78" s="72"/>
    </row>
    <row r="79" spans="1:13" x14ac:dyDescent="0.3">
      <c r="A79" s="56" t="s">
        <v>229</v>
      </c>
      <c r="B79" s="72"/>
      <c r="C79" s="72"/>
      <c r="D79" s="72"/>
      <c r="E79" s="72"/>
      <c r="F79" s="72"/>
      <c r="G79" s="72"/>
      <c r="H79" s="72"/>
      <c r="I79" s="72"/>
      <c r="J79" s="72"/>
      <c r="K79" s="72"/>
      <c r="L79" s="72"/>
      <c r="M79" s="72"/>
    </row>
    <row r="81" spans="1:13" x14ac:dyDescent="0.3">
      <c r="A81" s="70" t="s">
        <v>230</v>
      </c>
      <c r="B81" s="202" t="s">
        <v>246</v>
      </c>
      <c r="C81" s="202"/>
      <c r="D81" s="202"/>
      <c r="E81" s="202"/>
      <c r="F81" s="202"/>
      <c r="G81" s="202"/>
      <c r="H81" s="202"/>
      <c r="I81" s="202"/>
      <c r="J81" s="202"/>
      <c r="K81" s="202"/>
      <c r="L81" s="202"/>
      <c r="M81" s="202"/>
    </row>
    <row r="82" spans="1:13" x14ac:dyDescent="0.3">
      <c r="A82" s="51"/>
      <c r="B82" s="55" t="s">
        <v>133</v>
      </c>
      <c r="C82" s="55" t="s">
        <v>134</v>
      </c>
      <c r="D82" s="55" t="s">
        <v>135</v>
      </c>
      <c r="E82" s="55" t="s">
        <v>136</v>
      </c>
      <c r="F82" s="55" t="s">
        <v>137</v>
      </c>
      <c r="G82" s="55" t="s">
        <v>138</v>
      </c>
      <c r="H82" s="55" t="s">
        <v>139</v>
      </c>
      <c r="I82" s="55" t="s">
        <v>140</v>
      </c>
      <c r="J82" s="55" t="s">
        <v>141</v>
      </c>
      <c r="K82" s="55" t="s">
        <v>142</v>
      </c>
      <c r="L82" s="55" t="s">
        <v>143</v>
      </c>
      <c r="M82" s="55" t="s">
        <v>144</v>
      </c>
    </row>
    <row r="83" spans="1:13" x14ac:dyDescent="0.3">
      <c r="A83" s="56" t="s">
        <v>227</v>
      </c>
      <c r="B83" s="73"/>
      <c r="C83" s="73"/>
      <c r="D83" s="73"/>
      <c r="E83" s="73"/>
      <c r="F83" s="73"/>
      <c r="G83" s="73"/>
      <c r="H83" s="73"/>
      <c r="I83" s="73"/>
      <c r="J83" s="73"/>
      <c r="K83" s="73"/>
      <c r="L83" s="73"/>
      <c r="M83" s="73"/>
    </row>
    <row r="84" spans="1:13" x14ac:dyDescent="0.3">
      <c r="A84" s="56" t="s">
        <v>228</v>
      </c>
      <c r="B84" s="73"/>
      <c r="C84" s="73"/>
      <c r="D84" s="73"/>
      <c r="E84" s="73"/>
      <c r="F84" s="73"/>
      <c r="G84" s="73"/>
      <c r="H84" s="73"/>
      <c r="I84" s="73"/>
      <c r="J84" s="73"/>
      <c r="K84" s="73"/>
      <c r="L84" s="73"/>
      <c r="M84" s="73"/>
    </row>
    <row r="85" spans="1:13" x14ac:dyDescent="0.3">
      <c r="A85" s="56" t="s">
        <v>229</v>
      </c>
      <c r="B85" s="73"/>
      <c r="C85" s="73"/>
      <c r="D85" s="73"/>
      <c r="E85" s="73"/>
      <c r="F85" s="73"/>
      <c r="G85" s="73"/>
      <c r="H85" s="73"/>
      <c r="I85" s="73"/>
      <c r="J85" s="73"/>
      <c r="K85" s="73"/>
      <c r="L85" s="73"/>
      <c r="M85" s="73"/>
    </row>
    <row r="86" spans="1:13" x14ac:dyDescent="0.3">
      <c r="A86" s="56" t="s">
        <v>232</v>
      </c>
      <c r="B86" s="73"/>
      <c r="C86" s="73"/>
      <c r="D86" s="73"/>
      <c r="E86" s="73"/>
      <c r="F86" s="73"/>
      <c r="G86" s="73"/>
      <c r="H86" s="73"/>
      <c r="I86" s="73"/>
      <c r="J86" s="73"/>
      <c r="K86" s="73"/>
      <c r="L86" s="73"/>
      <c r="M86" s="73"/>
    </row>
    <row r="87" spans="1:13" x14ac:dyDescent="0.3">
      <c r="A87" s="56" t="s">
        <v>231</v>
      </c>
      <c r="B87" s="73"/>
      <c r="C87" s="73"/>
      <c r="D87" s="73"/>
      <c r="E87" s="73"/>
      <c r="F87" s="73"/>
      <c r="G87" s="73"/>
      <c r="H87" s="73"/>
      <c r="I87" s="73"/>
      <c r="J87" s="73"/>
      <c r="K87" s="73"/>
      <c r="L87" s="73"/>
      <c r="M87" s="73"/>
    </row>
    <row r="88" spans="1:13" x14ac:dyDescent="0.3">
      <c r="A88" s="56" t="s">
        <v>233</v>
      </c>
      <c r="B88" s="73"/>
      <c r="C88" s="73"/>
      <c r="D88" s="73"/>
      <c r="E88" s="73"/>
      <c r="F88" s="73"/>
      <c r="G88" s="73"/>
      <c r="H88" s="73"/>
      <c r="I88" s="73"/>
      <c r="J88" s="73"/>
      <c r="K88" s="73"/>
      <c r="L88" s="73"/>
      <c r="M88" s="73"/>
    </row>
    <row r="90" spans="1:13" x14ac:dyDescent="0.3">
      <c r="A90" s="70" t="s">
        <v>269</v>
      </c>
      <c r="B90" s="202" t="s">
        <v>247</v>
      </c>
      <c r="C90" s="202"/>
      <c r="D90" s="202"/>
      <c r="E90" s="202"/>
      <c r="F90" s="202"/>
      <c r="G90" s="202"/>
      <c r="H90" s="202"/>
      <c r="I90" s="202"/>
      <c r="J90" s="202"/>
      <c r="K90" s="202"/>
      <c r="L90" s="202"/>
      <c r="M90" s="202"/>
    </row>
    <row r="91" spans="1:13" x14ac:dyDescent="0.3">
      <c r="A91" s="51"/>
      <c r="B91" s="55" t="s">
        <v>133</v>
      </c>
      <c r="C91" s="55" t="s">
        <v>134</v>
      </c>
      <c r="D91" s="55" t="s">
        <v>135</v>
      </c>
      <c r="E91" s="55" t="s">
        <v>136</v>
      </c>
      <c r="F91" s="55" t="s">
        <v>137</v>
      </c>
      <c r="G91" s="55" t="s">
        <v>138</v>
      </c>
      <c r="H91" s="55" t="s">
        <v>139</v>
      </c>
      <c r="I91" s="55" t="s">
        <v>140</v>
      </c>
      <c r="J91" s="55" t="s">
        <v>141</v>
      </c>
      <c r="K91" s="55" t="s">
        <v>142</v>
      </c>
      <c r="L91" s="55" t="s">
        <v>143</v>
      </c>
      <c r="M91" s="55" t="s">
        <v>144</v>
      </c>
    </row>
    <row r="92" spans="1:13" x14ac:dyDescent="0.3">
      <c r="A92" s="56" t="s">
        <v>234</v>
      </c>
      <c r="B92" s="69"/>
      <c r="C92" s="69"/>
      <c r="D92" s="69"/>
      <c r="E92" s="69"/>
      <c r="F92" s="69"/>
      <c r="G92" s="69"/>
      <c r="H92" s="69"/>
      <c r="I92" s="69"/>
      <c r="J92" s="69"/>
      <c r="K92" s="69"/>
      <c r="L92" s="69"/>
      <c r="M92" s="69"/>
    </row>
    <row r="93" spans="1:13" x14ac:dyDescent="0.3">
      <c r="A93" s="56" t="s">
        <v>228</v>
      </c>
      <c r="B93" s="69"/>
      <c r="C93" s="69"/>
      <c r="D93" s="69"/>
      <c r="E93" s="69"/>
      <c r="F93" s="69"/>
      <c r="G93" s="69"/>
      <c r="H93" s="69"/>
      <c r="I93" s="69"/>
      <c r="J93" s="69"/>
      <c r="K93" s="69"/>
      <c r="L93" s="69"/>
      <c r="M93" s="69"/>
    </row>
    <row r="94" spans="1:13" x14ac:dyDescent="0.3">
      <c r="A94" s="56" t="s">
        <v>229</v>
      </c>
      <c r="B94" s="69"/>
      <c r="C94" s="69"/>
      <c r="D94" s="69"/>
      <c r="E94" s="69"/>
      <c r="F94" s="69"/>
      <c r="G94" s="69"/>
      <c r="H94" s="69"/>
      <c r="I94" s="69"/>
      <c r="J94" s="69"/>
      <c r="K94" s="69"/>
      <c r="L94" s="69"/>
      <c r="M94" s="69"/>
    </row>
    <row r="95" spans="1:13" x14ac:dyDescent="0.3">
      <c r="A95" s="56" t="s">
        <v>232</v>
      </c>
      <c r="B95" s="69"/>
      <c r="C95" s="69"/>
      <c r="D95" s="69"/>
      <c r="E95" s="69"/>
      <c r="F95" s="69"/>
      <c r="G95" s="69"/>
      <c r="H95" s="69"/>
      <c r="I95" s="69"/>
      <c r="J95" s="69"/>
      <c r="K95" s="69"/>
      <c r="L95" s="69"/>
      <c r="M95" s="69"/>
    </row>
    <row r="96" spans="1:13" x14ac:dyDescent="0.3">
      <c r="A96" s="56" t="s">
        <v>231</v>
      </c>
      <c r="B96" s="69"/>
      <c r="C96" s="69"/>
      <c r="D96" s="69"/>
      <c r="E96" s="69"/>
      <c r="F96" s="69"/>
      <c r="G96" s="69"/>
      <c r="H96" s="69"/>
      <c r="I96" s="69"/>
      <c r="J96" s="69"/>
      <c r="K96" s="69"/>
      <c r="L96" s="69"/>
      <c r="M96" s="69"/>
    </row>
    <row r="97" spans="1:13" x14ac:dyDescent="0.3">
      <c r="A97" s="56" t="s">
        <v>233</v>
      </c>
      <c r="B97" s="69"/>
      <c r="C97" s="69"/>
      <c r="D97" s="69"/>
      <c r="E97" s="69"/>
      <c r="F97" s="69"/>
      <c r="G97" s="69"/>
      <c r="H97" s="69"/>
      <c r="I97" s="69"/>
      <c r="J97" s="69"/>
      <c r="K97" s="69"/>
      <c r="L97" s="69"/>
      <c r="M97" s="69"/>
    </row>
    <row r="98" spans="1:13" x14ac:dyDescent="0.3">
      <c r="A98" s="56" t="s">
        <v>88</v>
      </c>
      <c r="B98" s="69"/>
      <c r="C98" s="69"/>
      <c r="D98" s="69"/>
      <c r="E98" s="69"/>
      <c r="F98" s="69"/>
      <c r="G98" s="69"/>
      <c r="H98" s="69"/>
      <c r="I98" s="69"/>
      <c r="J98" s="69"/>
      <c r="K98" s="69"/>
      <c r="L98" s="69"/>
      <c r="M98" s="69"/>
    </row>
    <row r="100" spans="1:13" x14ac:dyDescent="0.3">
      <c r="A100" s="70" t="s">
        <v>238</v>
      </c>
      <c r="B100" s="202" t="s">
        <v>422</v>
      </c>
      <c r="C100" s="202"/>
      <c r="D100" s="202"/>
      <c r="E100" s="202"/>
      <c r="F100" s="202"/>
      <c r="G100" s="202"/>
      <c r="H100" s="202"/>
      <c r="I100" s="202"/>
      <c r="J100" s="202"/>
      <c r="K100" s="202"/>
      <c r="L100" s="202"/>
      <c r="M100" s="202"/>
    </row>
    <row r="101" spans="1:13" x14ac:dyDescent="0.3">
      <c r="A101" s="51"/>
      <c r="B101" s="55" t="s">
        <v>133</v>
      </c>
      <c r="C101" s="55" t="s">
        <v>134</v>
      </c>
      <c r="D101" s="55" t="s">
        <v>135</v>
      </c>
      <c r="E101" s="55" t="s">
        <v>136</v>
      </c>
      <c r="F101" s="55" t="s">
        <v>137</v>
      </c>
      <c r="G101" s="55" t="s">
        <v>138</v>
      </c>
      <c r="H101" s="55" t="s">
        <v>139</v>
      </c>
      <c r="I101" s="55" t="s">
        <v>140</v>
      </c>
      <c r="J101" s="55" t="s">
        <v>141</v>
      </c>
      <c r="K101" s="55" t="s">
        <v>142</v>
      </c>
      <c r="L101" s="55" t="s">
        <v>143</v>
      </c>
      <c r="M101" s="55" t="s">
        <v>144</v>
      </c>
    </row>
    <row r="102" spans="1:13" x14ac:dyDescent="0.3">
      <c r="A102" s="56" t="s">
        <v>227</v>
      </c>
      <c r="B102" s="72"/>
      <c r="C102" s="72"/>
      <c r="D102" s="72"/>
      <c r="E102" s="72"/>
      <c r="F102" s="72"/>
      <c r="G102" s="72"/>
      <c r="H102" s="72"/>
      <c r="I102" s="72"/>
      <c r="J102" s="72"/>
      <c r="K102" s="72"/>
      <c r="L102" s="72"/>
      <c r="M102" s="72"/>
    </row>
    <row r="103" spans="1:13" x14ac:dyDescent="0.3">
      <c r="A103" s="56" t="s">
        <v>228</v>
      </c>
      <c r="B103" s="72"/>
      <c r="C103" s="72"/>
      <c r="D103" s="72"/>
      <c r="E103" s="72"/>
      <c r="F103" s="72"/>
      <c r="G103" s="72"/>
      <c r="H103" s="72"/>
      <c r="I103" s="72"/>
      <c r="J103" s="72"/>
      <c r="K103" s="72"/>
      <c r="L103" s="72"/>
      <c r="M103" s="72"/>
    </row>
    <row r="104" spans="1:13" x14ac:dyDescent="0.3">
      <c r="A104" s="56" t="s">
        <v>229</v>
      </c>
      <c r="B104" s="72"/>
      <c r="C104" s="72"/>
      <c r="D104" s="72"/>
      <c r="E104" s="72"/>
      <c r="F104" s="72"/>
      <c r="G104" s="72"/>
      <c r="H104" s="72"/>
      <c r="I104" s="72"/>
      <c r="J104" s="72"/>
      <c r="K104" s="72"/>
      <c r="L104" s="72"/>
      <c r="M104" s="72"/>
    </row>
    <row r="105" spans="1:13" x14ac:dyDescent="0.3">
      <c r="A105" s="56" t="s">
        <v>232</v>
      </c>
      <c r="B105" s="72"/>
      <c r="C105" s="72"/>
      <c r="D105" s="72"/>
      <c r="E105" s="72"/>
      <c r="F105" s="72"/>
      <c r="G105" s="72"/>
      <c r="H105" s="72"/>
      <c r="I105" s="72"/>
      <c r="J105" s="72"/>
      <c r="K105" s="72"/>
      <c r="L105" s="72"/>
      <c r="M105" s="72"/>
    </row>
    <row r="106" spans="1:13" x14ac:dyDescent="0.3">
      <c r="A106" s="56" t="s">
        <v>231</v>
      </c>
      <c r="B106" s="72"/>
      <c r="C106" s="72"/>
      <c r="D106" s="72"/>
      <c r="E106" s="72"/>
      <c r="F106" s="72"/>
      <c r="G106" s="72"/>
      <c r="H106" s="72"/>
      <c r="I106" s="72"/>
      <c r="J106" s="72"/>
      <c r="K106" s="72"/>
      <c r="L106" s="72"/>
      <c r="M106" s="72"/>
    </row>
    <row r="107" spans="1:13" x14ac:dyDescent="0.3">
      <c r="A107" s="56" t="s">
        <v>233</v>
      </c>
      <c r="B107" s="72"/>
      <c r="C107" s="72"/>
      <c r="D107" s="72"/>
      <c r="E107" s="72"/>
      <c r="F107" s="72"/>
      <c r="G107" s="72"/>
      <c r="H107" s="72"/>
      <c r="I107" s="72"/>
      <c r="J107" s="72"/>
      <c r="K107" s="72"/>
      <c r="L107" s="72"/>
      <c r="M107" s="72"/>
    </row>
    <row r="109" spans="1:13" x14ac:dyDescent="0.3">
      <c r="A109" s="70" t="s">
        <v>224</v>
      </c>
      <c r="B109" s="202" t="s">
        <v>293</v>
      </c>
      <c r="C109" s="202"/>
      <c r="D109" s="202"/>
      <c r="E109" s="202"/>
      <c r="F109" s="202"/>
      <c r="G109" s="202"/>
      <c r="H109" s="202"/>
      <c r="I109" s="202"/>
      <c r="J109" s="202"/>
      <c r="K109" s="202"/>
      <c r="L109" s="202"/>
      <c r="M109" s="202"/>
    </row>
    <row r="110" spans="1:13" x14ac:dyDescent="0.3">
      <c r="A110" s="51"/>
      <c r="B110" s="55" t="s">
        <v>133</v>
      </c>
      <c r="C110" s="55" t="s">
        <v>134</v>
      </c>
      <c r="D110" s="55" t="s">
        <v>135</v>
      </c>
      <c r="E110" s="55" t="s">
        <v>136</v>
      </c>
      <c r="F110" s="55" t="s">
        <v>137</v>
      </c>
      <c r="G110" s="55" t="s">
        <v>138</v>
      </c>
      <c r="H110" s="55" t="s">
        <v>139</v>
      </c>
      <c r="I110" s="55" t="s">
        <v>140</v>
      </c>
      <c r="J110" s="55" t="s">
        <v>141</v>
      </c>
      <c r="K110" s="55" t="s">
        <v>142</v>
      </c>
      <c r="L110" s="55" t="s">
        <v>143</v>
      </c>
      <c r="M110" s="55" t="s">
        <v>144</v>
      </c>
    </row>
    <row r="111" spans="1:13" x14ac:dyDescent="0.3">
      <c r="A111" s="56" t="s">
        <v>235</v>
      </c>
      <c r="B111" s="69"/>
      <c r="C111" s="69"/>
      <c r="D111" s="69"/>
      <c r="E111" s="69"/>
      <c r="F111" s="69"/>
      <c r="G111" s="69"/>
      <c r="H111" s="69"/>
      <c r="I111" s="69"/>
      <c r="J111" s="69"/>
      <c r="K111" s="69"/>
      <c r="L111" s="69"/>
      <c r="M111" s="69"/>
    </row>
    <row r="113" spans="1:13" x14ac:dyDescent="0.3">
      <c r="A113" s="70" t="s">
        <v>236</v>
      </c>
      <c r="B113" s="202" t="s">
        <v>248</v>
      </c>
      <c r="C113" s="202"/>
      <c r="D113" s="202"/>
      <c r="E113" s="202"/>
      <c r="F113" s="202"/>
      <c r="G113" s="202"/>
      <c r="H113" s="202"/>
      <c r="I113" s="202"/>
      <c r="J113" s="202"/>
      <c r="K113" s="202"/>
      <c r="L113" s="202"/>
      <c r="M113" s="202"/>
    </row>
    <row r="114" spans="1:13" x14ac:dyDescent="0.3">
      <c r="A114" s="51"/>
      <c r="B114" s="55" t="s">
        <v>133</v>
      </c>
      <c r="C114" s="55" t="s">
        <v>134</v>
      </c>
      <c r="D114" s="55" t="s">
        <v>135</v>
      </c>
      <c r="E114" s="55" t="s">
        <v>136</v>
      </c>
      <c r="F114" s="55" t="s">
        <v>137</v>
      </c>
      <c r="G114" s="55" t="s">
        <v>138</v>
      </c>
      <c r="H114" s="55" t="s">
        <v>139</v>
      </c>
      <c r="I114" s="55" t="s">
        <v>140</v>
      </c>
      <c r="J114" s="55" t="s">
        <v>141</v>
      </c>
      <c r="K114" s="55" t="s">
        <v>142</v>
      </c>
      <c r="L114" s="55" t="s">
        <v>143</v>
      </c>
      <c r="M114" s="55" t="s">
        <v>144</v>
      </c>
    </row>
    <row r="115" spans="1:13" x14ac:dyDescent="0.3">
      <c r="A115" s="56" t="s">
        <v>145</v>
      </c>
      <c r="B115" s="73"/>
      <c r="C115" s="73"/>
      <c r="D115" s="73"/>
      <c r="E115" s="73"/>
      <c r="F115" s="73"/>
      <c r="G115" s="73"/>
      <c r="H115" s="73"/>
      <c r="I115" s="73"/>
      <c r="J115" s="73"/>
      <c r="K115" s="73"/>
      <c r="L115" s="73"/>
      <c r="M115" s="73"/>
    </row>
    <row r="116" spans="1:13" x14ac:dyDescent="0.3">
      <c r="A116" s="56" t="s">
        <v>242</v>
      </c>
      <c r="B116" s="73"/>
      <c r="C116" s="73"/>
      <c r="D116" s="73"/>
      <c r="E116" s="73"/>
      <c r="F116" s="73"/>
      <c r="G116" s="73"/>
      <c r="H116" s="73"/>
      <c r="I116" s="73"/>
      <c r="J116" s="73"/>
      <c r="K116" s="73"/>
      <c r="L116" s="73"/>
      <c r="M116" s="73"/>
    </row>
    <row r="117" spans="1:13" x14ac:dyDescent="0.3">
      <c r="A117" s="56" t="s">
        <v>148</v>
      </c>
      <c r="B117" s="73"/>
      <c r="C117" s="73"/>
      <c r="D117" s="73"/>
      <c r="E117" s="73"/>
      <c r="F117" s="73"/>
      <c r="G117" s="73"/>
      <c r="H117" s="73"/>
      <c r="I117" s="73"/>
      <c r="J117" s="73"/>
      <c r="K117" s="73"/>
      <c r="L117" s="73"/>
      <c r="M117" s="73"/>
    </row>
    <row r="118" spans="1:13" x14ac:dyDescent="0.3">
      <c r="A118" s="56" t="s">
        <v>276</v>
      </c>
      <c r="B118" s="73"/>
      <c r="C118" s="73"/>
      <c r="D118" s="73"/>
      <c r="E118" s="73"/>
      <c r="F118" s="73"/>
      <c r="G118" s="73"/>
      <c r="H118" s="73"/>
      <c r="I118" s="73"/>
      <c r="J118" s="73"/>
      <c r="K118" s="73"/>
      <c r="L118" s="73"/>
      <c r="M118" s="73"/>
    </row>
    <row r="120" spans="1:13" x14ac:dyDescent="0.3">
      <c r="A120" s="70" t="s">
        <v>294</v>
      </c>
      <c r="B120" s="202" t="s">
        <v>423</v>
      </c>
      <c r="C120" s="202"/>
      <c r="D120" s="202"/>
      <c r="E120" s="202"/>
      <c r="F120" s="202"/>
      <c r="G120" s="202"/>
      <c r="H120" s="202"/>
      <c r="I120" s="202"/>
      <c r="J120" s="202"/>
      <c r="K120" s="202"/>
      <c r="L120" s="202"/>
      <c r="M120" s="202"/>
    </row>
    <row r="121" spans="1:13" x14ac:dyDescent="0.3">
      <c r="A121" s="51"/>
      <c r="B121" s="55" t="s">
        <v>133</v>
      </c>
      <c r="C121" s="55" t="s">
        <v>134</v>
      </c>
      <c r="D121" s="55" t="s">
        <v>135</v>
      </c>
      <c r="E121" s="55" t="s">
        <v>136</v>
      </c>
      <c r="F121" s="55" t="s">
        <v>137</v>
      </c>
      <c r="G121" s="55" t="s">
        <v>138</v>
      </c>
      <c r="H121" s="55" t="s">
        <v>139</v>
      </c>
      <c r="I121" s="55" t="s">
        <v>140</v>
      </c>
      <c r="J121" s="55" t="s">
        <v>141</v>
      </c>
      <c r="K121" s="55" t="s">
        <v>142</v>
      </c>
      <c r="L121" s="55" t="s">
        <v>143</v>
      </c>
      <c r="M121" s="55" t="s">
        <v>144</v>
      </c>
    </row>
    <row r="122" spans="1:13" x14ac:dyDescent="0.3">
      <c r="A122" s="56" t="s">
        <v>145</v>
      </c>
      <c r="B122" s="69"/>
      <c r="C122" s="69"/>
      <c r="D122" s="69"/>
      <c r="E122" s="69"/>
      <c r="F122" s="69"/>
      <c r="G122" s="69"/>
      <c r="H122" s="69"/>
      <c r="I122" s="69"/>
      <c r="J122" s="69"/>
      <c r="K122" s="69"/>
      <c r="L122" s="69"/>
      <c r="M122" s="69"/>
    </row>
    <row r="123" spans="1:13" x14ac:dyDescent="0.3">
      <c r="A123" s="56" t="s">
        <v>242</v>
      </c>
      <c r="B123" s="69"/>
      <c r="C123" s="69"/>
      <c r="D123" s="69"/>
      <c r="E123" s="69"/>
      <c r="F123" s="69"/>
      <c r="G123" s="69"/>
      <c r="H123" s="69"/>
      <c r="I123" s="69"/>
      <c r="J123" s="69"/>
      <c r="K123" s="69"/>
      <c r="L123" s="69"/>
      <c r="M123" s="69"/>
    </row>
    <row r="124" spans="1:13" x14ac:dyDescent="0.3">
      <c r="A124" s="56" t="s">
        <v>148</v>
      </c>
      <c r="B124" s="69"/>
      <c r="C124" s="69"/>
      <c r="D124" s="69"/>
      <c r="E124" s="69"/>
      <c r="F124" s="69"/>
      <c r="G124" s="69"/>
      <c r="H124" s="69"/>
      <c r="I124" s="69"/>
      <c r="J124" s="69"/>
      <c r="K124" s="69"/>
      <c r="L124" s="69"/>
      <c r="M124" s="69"/>
    </row>
    <row r="126" spans="1:13" ht="15" customHeight="1" x14ac:dyDescent="0.3">
      <c r="A126" s="70" t="s">
        <v>444</v>
      </c>
      <c r="B126" s="202" t="s">
        <v>445</v>
      </c>
      <c r="C126" s="202"/>
      <c r="D126" s="202"/>
      <c r="E126" s="202"/>
      <c r="F126" s="202"/>
      <c r="G126" s="202"/>
      <c r="H126" s="202"/>
      <c r="I126" s="202"/>
      <c r="J126" s="202"/>
      <c r="K126" s="202"/>
      <c r="L126" s="202"/>
      <c r="M126" s="202"/>
    </row>
    <row r="127" spans="1:13" x14ac:dyDescent="0.3">
      <c r="A127" s="51"/>
      <c r="B127" s="55" t="s">
        <v>133</v>
      </c>
      <c r="C127" s="55" t="s">
        <v>134</v>
      </c>
      <c r="D127" s="55" t="s">
        <v>135</v>
      </c>
      <c r="E127" s="55" t="s">
        <v>136</v>
      </c>
      <c r="F127" s="55" t="s">
        <v>137</v>
      </c>
      <c r="G127" s="55" t="s">
        <v>138</v>
      </c>
      <c r="H127" s="55" t="s">
        <v>139</v>
      </c>
      <c r="I127" s="55" t="s">
        <v>140</v>
      </c>
      <c r="J127" s="55" t="s">
        <v>141</v>
      </c>
      <c r="K127" s="55" t="s">
        <v>142</v>
      </c>
      <c r="L127" s="55" t="s">
        <v>143</v>
      </c>
      <c r="M127" s="55" t="s">
        <v>144</v>
      </c>
    </row>
    <row r="128" spans="1:13" x14ac:dyDescent="0.3">
      <c r="A128" s="56" t="s">
        <v>145</v>
      </c>
      <c r="B128" s="69"/>
      <c r="C128" s="69"/>
      <c r="D128" s="69"/>
      <c r="E128" s="69"/>
      <c r="F128" s="69"/>
      <c r="G128" s="69"/>
      <c r="H128" s="69"/>
      <c r="I128" s="69"/>
      <c r="J128" s="69"/>
      <c r="K128" s="69"/>
      <c r="L128" s="69"/>
      <c r="M128" s="69"/>
    </row>
    <row r="129" spans="1:13" x14ac:dyDescent="0.3">
      <c r="A129" s="56" t="s">
        <v>242</v>
      </c>
      <c r="B129" s="69"/>
      <c r="C129" s="69"/>
      <c r="D129" s="69"/>
      <c r="E129" s="69"/>
      <c r="F129" s="69"/>
      <c r="G129" s="69"/>
      <c r="H129" s="69"/>
      <c r="I129" s="69"/>
      <c r="J129" s="69"/>
      <c r="K129" s="69"/>
      <c r="L129" s="69"/>
      <c r="M129" s="69"/>
    </row>
    <row r="130" spans="1:13" x14ac:dyDescent="0.3">
      <c r="A130" s="56" t="s">
        <v>148</v>
      </c>
      <c r="B130" s="69"/>
      <c r="C130" s="69"/>
      <c r="D130" s="69"/>
      <c r="E130" s="69"/>
      <c r="F130" s="69"/>
      <c r="G130" s="69"/>
      <c r="H130" s="69"/>
      <c r="I130" s="69"/>
      <c r="J130" s="69"/>
      <c r="K130" s="69"/>
      <c r="L130" s="69"/>
      <c r="M130" s="69"/>
    </row>
    <row r="132" spans="1:13" x14ac:dyDescent="0.3">
      <c r="A132" s="70" t="s">
        <v>239</v>
      </c>
      <c r="B132" s="202" t="s">
        <v>249</v>
      </c>
      <c r="C132" s="202"/>
      <c r="D132" s="202"/>
      <c r="E132" s="202"/>
      <c r="F132" s="202"/>
      <c r="G132" s="202"/>
      <c r="H132" s="202"/>
      <c r="I132" s="202"/>
      <c r="J132" s="202"/>
      <c r="K132" s="202"/>
      <c r="L132" s="202"/>
      <c r="M132" s="202"/>
    </row>
    <row r="133" spans="1:13" x14ac:dyDescent="0.3">
      <c r="A133" s="51"/>
      <c r="B133" s="55" t="s">
        <v>133</v>
      </c>
      <c r="C133" s="55" t="s">
        <v>134</v>
      </c>
      <c r="D133" s="55" t="s">
        <v>135</v>
      </c>
      <c r="E133" s="55" t="s">
        <v>136</v>
      </c>
      <c r="F133" s="55" t="s">
        <v>137</v>
      </c>
      <c r="G133" s="55" t="s">
        <v>138</v>
      </c>
      <c r="H133" s="55" t="s">
        <v>139</v>
      </c>
      <c r="I133" s="55" t="s">
        <v>140</v>
      </c>
      <c r="J133" s="55" t="s">
        <v>141</v>
      </c>
      <c r="K133" s="55" t="s">
        <v>142</v>
      </c>
      <c r="L133" s="55" t="s">
        <v>143</v>
      </c>
      <c r="M133" s="55" t="s">
        <v>144</v>
      </c>
    </row>
    <row r="134" spans="1:13" x14ac:dyDescent="0.3">
      <c r="A134" s="56" t="s">
        <v>240</v>
      </c>
      <c r="B134" s="72"/>
      <c r="C134" s="72"/>
      <c r="D134" s="72"/>
      <c r="E134" s="72"/>
      <c r="F134" s="72"/>
      <c r="G134" s="72"/>
      <c r="H134" s="72"/>
      <c r="I134" s="72"/>
      <c r="J134" s="72"/>
      <c r="K134" s="72"/>
      <c r="L134" s="72"/>
      <c r="M134" s="72"/>
    </row>
    <row r="135" spans="1:13" x14ac:dyDescent="0.3">
      <c r="A135" s="56" t="s">
        <v>241</v>
      </c>
      <c r="B135" s="72"/>
      <c r="C135" s="72"/>
      <c r="D135" s="72"/>
      <c r="E135" s="72"/>
      <c r="F135" s="72"/>
      <c r="G135" s="72"/>
      <c r="H135" s="72"/>
      <c r="I135" s="72"/>
      <c r="J135" s="72"/>
      <c r="K135" s="72"/>
      <c r="L135" s="72"/>
      <c r="M135" s="72"/>
    </row>
  </sheetData>
  <mergeCells count="22">
    <mergeCell ref="B27:M27"/>
    <mergeCell ref="B8:M8"/>
    <mergeCell ref="B13:M13"/>
    <mergeCell ref="B17:M17"/>
    <mergeCell ref="B22:M22"/>
    <mergeCell ref="B68:M68"/>
    <mergeCell ref="B32:M32"/>
    <mergeCell ref="B38:M38"/>
    <mergeCell ref="B44:M44"/>
    <mergeCell ref="B50:M50"/>
    <mergeCell ref="B56:M56"/>
    <mergeCell ref="B62:M62"/>
    <mergeCell ref="B74:M74"/>
    <mergeCell ref="B81:M81"/>
    <mergeCell ref="B90:M90"/>
    <mergeCell ref="B109:M109"/>
    <mergeCell ref="B100:M100"/>
    <mergeCell ref="B120:M120"/>
    <mergeCell ref="B113:M113"/>
    <mergeCell ref="B126:M126"/>
    <mergeCell ref="B132:M132"/>
    <mergeCell ref="B75:M7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96922-7EAC-4FFF-8713-2A67131A129D}">
  <sheetPr>
    <tabColor theme="4" tint="0.79998168889431442"/>
  </sheetPr>
  <dimension ref="A6:M104"/>
  <sheetViews>
    <sheetView zoomScale="90" zoomScaleNormal="90" workbookViewId="0">
      <pane xSplit="1" ySplit="7" topLeftCell="B8" activePane="bottomRight" state="frozen"/>
      <selection pane="topRight" activeCell="B1" sqref="B1"/>
      <selection pane="bottomLeft" activeCell="A3" sqref="A3"/>
      <selection pane="bottomRight" activeCell="A11" sqref="A11"/>
    </sheetView>
  </sheetViews>
  <sheetFormatPr defaultColWidth="9.140625" defaultRowHeight="15" x14ac:dyDescent="0.3"/>
  <cols>
    <col min="1" max="1" width="30.7109375" style="22" bestFit="1" customWidth="1"/>
    <col min="2" max="13" width="23.5703125" style="22" customWidth="1"/>
    <col min="14" max="16384" width="9.140625" style="22"/>
  </cols>
  <sheetData>
    <row r="6" spans="1:13" s="94" customFormat="1" ht="17.25" x14ac:dyDescent="0.35">
      <c r="A6" s="95" t="s">
        <v>160</v>
      </c>
      <c r="B6" s="48"/>
      <c r="C6" s="48"/>
      <c r="D6" s="48"/>
      <c r="E6" s="48"/>
      <c r="F6" s="48"/>
      <c r="G6" s="48"/>
      <c r="H6" s="48"/>
      <c r="I6" s="48"/>
      <c r="J6" s="48"/>
      <c r="K6" s="48"/>
      <c r="L6" s="48"/>
      <c r="M6" s="48"/>
    </row>
    <row r="7" spans="1:13" s="94" customFormat="1" x14ac:dyDescent="0.3">
      <c r="A7" s="92"/>
      <c r="B7" s="48"/>
      <c r="C7" s="48"/>
      <c r="D7" s="48"/>
      <c r="E7" s="93"/>
      <c r="F7" s="48"/>
      <c r="G7" s="48"/>
      <c r="H7" s="48"/>
      <c r="I7" s="48"/>
      <c r="J7" s="48"/>
      <c r="K7" s="48"/>
      <c r="L7" s="48"/>
      <c r="M7" s="48"/>
    </row>
    <row r="8" spans="1:13" ht="15" customHeight="1" x14ac:dyDescent="0.3">
      <c r="A8" s="70" t="s">
        <v>161</v>
      </c>
      <c r="B8" s="204" t="s">
        <v>225</v>
      </c>
      <c r="C8" s="205"/>
      <c r="D8" s="205"/>
      <c r="E8" s="205"/>
      <c r="F8" s="205"/>
      <c r="G8" s="205"/>
      <c r="H8" s="205"/>
      <c r="I8" s="205"/>
      <c r="J8" s="205"/>
      <c r="K8" s="205"/>
      <c r="L8" s="205"/>
      <c r="M8" s="205"/>
    </row>
    <row r="9" spans="1:13" x14ac:dyDescent="0.3">
      <c r="A9" s="51"/>
      <c r="B9" s="55" t="s">
        <v>133</v>
      </c>
      <c r="C9" s="55" t="s">
        <v>134</v>
      </c>
      <c r="D9" s="55" t="s">
        <v>135</v>
      </c>
      <c r="E9" s="55" t="s">
        <v>136</v>
      </c>
      <c r="F9" s="55" t="s">
        <v>137</v>
      </c>
      <c r="G9" s="55" t="s">
        <v>138</v>
      </c>
      <c r="H9" s="55" t="s">
        <v>139</v>
      </c>
      <c r="I9" s="55" t="s">
        <v>140</v>
      </c>
      <c r="J9" s="55" t="s">
        <v>141</v>
      </c>
      <c r="K9" s="55" t="s">
        <v>142</v>
      </c>
      <c r="L9" s="55" t="s">
        <v>143</v>
      </c>
      <c r="M9" s="55" t="s">
        <v>144</v>
      </c>
    </row>
    <row r="10" spans="1:13" x14ac:dyDescent="0.3">
      <c r="A10" s="56" t="s">
        <v>145</v>
      </c>
      <c r="B10" s="69"/>
      <c r="C10" s="69"/>
      <c r="D10" s="69"/>
      <c r="E10" s="69"/>
      <c r="F10" s="69"/>
      <c r="G10" s="69"/>
      <c r="H10" s="69"/>
      <c r="I10" s="69"/>
      <c r="J10" s="69"/>
      <c r="K10" s="69"/>
      <c r="L10" s="69"/>
      <c r="M10" s="69"/>
    </row>
    <row r="11" spans="1:13" x14ac:dyDescent="0.3">
      <c r="A11" s="56" t="s">
        <v>162</v>
      </c>
      <c r="B11" s="69"/>
      <c r="C11" s="69"/>
      <c r="D11" s="69"/>
      <c r="E11" s="69"/>
      <c r="F11" s="69"/>
      <c r="G11" s="69"/>
      <c r="H11" s="69"/>
      <c r="I11" s="69"/>
      <c r="J11" s="69"/>
      <c r="K11" s="69"/>
      <c r="L11" s="69"/>
      <c r="M11" s="69"/>
    </row>
    <row r="13" spans="1:13" x14ac:dyDescent="0.3">
      <c r="A13" s="70" t="s">
        <v>163</v>
      </c>
      <c r="B13" s="202" t="s">
        <v>164</v>
      </c>
      <c r="C13" s="202"/>
      <c r="D13" s="202"/>
      <c r="E13" s="202"/>
      <c r="F13" s="202"/>
      <c r="G13" s="202"/>
      <c r="H13" s="202"/>
      <c r="I13" s="202"/>
      <c r="J13" s="202"/>
      <c r="K13" s="202"/>
      <c r="L13" s="202"/>
      <c r="M13" s="202"/>
    </row>
    <row r="14" spans="1:13" x14ac:dyDescent="0.3">
      <c r="A14" s="51"/>
      <c r="B14" s="55" t="s">
        <v>133</v>
      </c>
      <c r="C14" s="55" t="s">
        <v>134</v>
      </c>
      <c r="D14" s="55" t="s">
        <v>135</v>
      </c>
      <c r="E14" s="55" t="s">
        <v>136</v>
      </c>
      <c r="F14" s="55" t="s">
        <v>137</v>
      </c>
      <c r="G14" s="55" t="s">
        <v>138</v>
      </c>
      <c r="H14" s="55" t="s">
        <v>139</v>
      </c>
      <c r="I14" s="55" t="s">
        <v>140</v>
      </c>
      <c r="J14" s="55" t="s">
        <v>141</v>
      </c>
      <c r="K14" s="55" t="s">
        <v>142</v>
      </c>
      <c r="L14" s="55" t="s">
        <v>143</v>
      </c>
      <c r="M14" s="55" t="s">
        <v>144</v>
      </c>
    </row>
    <row r="15" spans="1:13" x14ac:dyDescent="0.3">
      <c r="A15" s="56" t="s">
        <v>145</v>
      </c>
      <c r="B15" s="74"/>
      <c r="C15" s="74"/>
      <c r="D15" s="74"/>
      <c r="E15" s="74"/>
      <c r="F15" s="74"/>
      <c r="G15" s="74"/>
      <c r="H15" s="74"/>
      <c r="I15" s="74"/>
      <c r="J15" s="74"/>
      <c r="K15" s="74"/>
      <c r="L15" s="74"/>
      <c r="M15" s="74"/>
    </row>
    <row r="17" spans="1:13" x14ac:dyDescent="0.3">
      <c r="A17" s="70" t="s">
        <v>165</v>
      </c>
      <c r="B17" s="202" t="s">
        <v>166</v>
      </c>
      <c r="C17" s="202"/>
      <c r="D17" s="202"/>
      <c r="E17" s="202"/>
      <c r="F17" s="202"/>
      <c r="G17" s="202"/>
      <c r="H17" s="202"/>
      <c r="I17" s="202"/>
      <c r="J17" s="202"/>
      <c r="K17" s="202"/>
      <c r="L17" s="202"/>
      <c r="M17" s="202"/>
    </row>
    <row r="18" spans="1:13" x14ac:dyDescent="0.3">
      <c r="A18" s="51"/>
      <c r="B18" s="55" t="s">
        <v>133</v>
      </c>
      <c r="C18" s="55" t="s">
        <v>134</v>
      </c>
      <c r="D18" s="55" t="s">
        <v>135</v>
      </c>
      <c r="E18" s="55" t="s">
        <v>136</v>
      </c>
      <c r="F18" s="55" t="s">
        <v>137</v>
      </c>
      <c r="G18" s="55" t="s">
        <v>138</v>
      </c>
      <c r="H18" s="55" t="s">
        <v>139</v>
      </c>
      <c r="I18" s="55" t="s">
        <v>140</v>
      </c>
      <c r="J18" s="55" t="s">
        <v>141</v>
      </c>
      <c r="K18" s="55" t="s">
        <v>142</v>
      </c>
      <c r="L18" s="55" t="s">
        <v>143</v>
      </c>
      <c r="M18" s="55" t="s">
        <v>144</v>
      </c>
    </row>
    <row r="19" spans="1:13" x14ac:dyDescent="0.3">
      <c r="A19" s="56" t="s">
        <v>145</v>
      </c>
      <c r="B19" s="69"/>
      <c r="C19" s="69"/>
      <c r="D19" s="69"/>
      <c r="E19" s="69"/>
      <c r="F19" s="69"/>
      <c r="G19" s="69"/>
      <c r="H19" s="69"/>
      <c r="I19" s="69"/>
      <c r="J19" s="69"/>
      <c r="K19" s="69"/>
      <c r="L19" s="69"/>
      <c r="M19" s="69"/>
    </row>
    <row r="21" spans="1:13" x14ac:dyDescent="0.3">
      <c r="A21" s="70" t="s">
        <v>152</v>
      </c>
      <c r="B21" s="202" t="s">
        <v>153</v>
      </c>
      <c r="C21" s="202"/>
      <c r="D21" s="202"/>
      <c r="E21" s="202"/>
      <c r="F21" s="202"/>
      <c r="G21" s="202"/>
      <c r="H21" s="202"/>
      <c r="I21" s="202"/>
      <c r="J21" s="202"/>
      <c r="K21" s="202"/>
      <c r="L21" s="202"/>
      <c r="M21" s="202"/>
    </row>
    <row r="22" spans="1:13" x14ac:dyDescent="0.3">
      <c r="A22" s="51"/>
      <c r="B22" s="55" t="s">
        <v>133</v>
      </c>
      <c r="C22" s="55" t="s">
        <v>134</v>
      </c>
      <c r="D22" s="55" t="s">
        <v>135</v>
      </c>
      <c r="E22" s="55" t="s">
        <v>136</v>
      </c>
      <c r="F22" s="55" t="s">
        <v>137</v>
      </c>
      <c r="G22" s="55" t="s">
        <v>138</v>
      </c>
      <c r="H22" s="55" t="s">
        <v>139</v>
      </c>
      <c r="I22" s="55" t="s">
        <v>140</v>
      </c>
      <c r="J22" s="55" t="s">
        <v>141</v>
      </c>
      <c r="K22" s="55" t="s">
        <v>142</v>
      </c>
      <c r="L22" s="55" t="s">
        <v>143</v>
      </c>
      <c r="M22" s="55" t="s">
        <v>144</v>
      </c>
    </row>
    <row r="23" spans="1:13" x14ac:dyDescent="0.3">
      <c r="A23" s="56" t="s">
        <v>145</v>
      </c>
      <c r="B23" s="73"/>
      <c r="C23" s="73"/>
      <c r="D23" s="73"/>
      <c r="E23" s="73"/>
      <c r="F23" s="73"/>
      <c r="G23" s="73"/>
      <c r="H23" s="73"/>
      <c r="I23" s="73"/>
      <c r="J23" s="73"/>
      <c r="K23" s="73"/>
      <c r="L23" s="73"/>
      <c r="M23" s="73"/>
    </row>
    <row r="24" spans="1:13" x14ac:dyDescent="0.3">
      <c r="A24" s="56" t="s">
        <v>162</v>
      </c>
      <c r="B24" s="73"/>
      <c r="C24" s="73"/>
      <c r="D24" s="73"/>
      <c r="E24" s="73"/>
      <c r="F24" s="73"/>
      <c r="G24" s="73"/>
      <c r="H24" s="73"/>
      <c r="I24" s="73"/>
      <c r="J24" s="73"/>
      <c r="K24" s="73"/>
      <c r="L24" s="73"/>
      <c r="M24" s="73"/>
    </row>
    <row r="26" spans="1:13" x14ac:dyDescent="0.3">
      <c r="A26" s="70" t="s">
        <v>154</v>
      </c>
      <c r="B26" s="202" t="s">
        <v>167</v>
      </c>
      <c r="C26" s="202"/>
      <c r="D26" s="202"/>
      <c r="E26" s="202"/>
      <c r="F26" s="202"/>
      <c r="G26" s="202"/>
      <c r="H26" s="202"/>
      <c r="I26" s="202"/>
      <c r="J26" s="202"/>
      <c r="K26" s="202"/>
      <c r="L26" s="202"/>
      <c r="M26" s="202"/>
    </row>
    <row r="27" spans="1:13" x14ac:dyDescent="0.3">
      <c r="A27" s="51"/>
      <c r="B27" s="55" t="s">
        <v>133</v>
      </c>
      <c r="C27" s="55" t="s">
        <v>134</v>
      </c>
      <c r="D27" s="55" t="s">
        <v>135</v>
      </c>
      <c r="E27" s="55" t="s">
        <v>136</v>
      </c>
      <c r="F27" s="55" t="s">
        <v>137</v>
      </c>
      <c r="G27" s="55" t="s">
        <v>138</v>
      </c>
      <c r="H27" s="55" t="s">
        <v>139</v>
      </c>
      <c r="I27" s="55" t="s">
        <v>140</v>
      </c>
      <c r="J27" s="55" t="s">
        <v>141</v>
      </c>
      <c r="K27" s="55" t="s">
        <v>142</v>
      </c>
      <c r="L27" s="55" t="s">
        <v>143</v>
      </c>
      <c r="M27" s="55" t="s">
        <v>144</v>
      </c>
    </row>
    <row r="28" spans="1:13" x14ac:dyDescent="0.3">
      <c r="A28" s="56" t="s">
        <v>145</v>
      </c>
      <c r="B28" s="74"/>
      <c r="C28" s="74"/>
      <c r="D28" s="74"/>
      <c r="E28" s="74"/>
      <c r="F28" s="74"/>
      <c r="G28" s="74"/>
      <c r="H28" s="74"/>
      <c r="I28" s="74"/>
      <c r="J28" s="74"/>
      <c r="K28" s="74"/>
      <c r="L28" s="74"/>
      <c r="M28" s="74"/>
    </row>
    <row r="29" spans="1:13" x14ac:dyDescent="0.3">
      <c r="A29" s="56" t="s">
        <v>162</v>
      </c>
      <c r="B29" s="73"/>
      <c r="C29" s="73"/>
      <c r="D29" s="73"/>
      <c r="E29" s="73"/>
      <c r="F29" s="73"/>
      <c r="G29" s="73"/>
      <c r="H29" s="73"/>
      <c r="I29" s="73"/>
      <c r="J29" s="73"/>
      <c r="K29" s="73"/>
      <c r="L29" s="73"/>
      <c r="M29" s="73"/>
    </row>
    <row r="31" spans="1:13" x14ac:dyDescent="0.3">
      <c r="A31" s="70" t="s">
        <v>155</v>
      </c>
      <c r="B31" s="202" t="s">
        <v>168</v>
      </c>
      <c r="C31" s="202"/>
      <c r="D31" s="202"/>
      <c r="E31" s="202"/>
      <c r="F31" s="202"/>
      <c r="G31" s="202"/>
      <c r="H31" s="202"/>
      <c r="I31" s="202"/>
      <c r="J31" s="202"/>
      <c r="K31" s="202"/>
      <c r="L31" s="202"/>
      <c r="M31" s="202"/>
    </row>
    <row r="32" spans="1:13" ht="15.75" x14ac:dyDescent="0.3">
      <c r="A32"/>
      <c r="B32" s="55" t="s">
        <v>133</v>
      </c>
      <c r="C32" s="55" t="s">
        <v>134</v>
      </c>
      <c r="D32" s="55" t="s">
        <v>135</v>
      </c>
      <c r="E32" s="55" t="s">
        <v>136</v>
      </c>
      <c r="F32" s="55" t="s">
        <v>137</v>
      </c>
      <c r="G32" s="55" t="s">
        <v>138</v>
      </c>
      <c r="H32" s="55" t="s">
        <v>139</v>
      </c>
      <c r="I32" s="55" t="s">
        <v>140</v>
      </c>
      <c r="J32" s="55" t="s">
        <v>141</v>
      </c>
      <c r="K32" s="55" t="s">
        <v>142</v>
      </c>
      <c r="L32" s="55" t="s">
        <v>143</v>
      </c>
      <c r="M32" s="55" t="s">
        <v>144</v>
      </c>
    </row>
    <row r="33" spans="1:13" x14ac:dyDescent="0.3">
      <c r="A33" s="56" t="s">
        <v>145</v>
      </c>
      <c r="B33" s="74"/>
      <c r="C33" s="74"/>
      <c r="D33" s="74"/>
      <c r="E33" s="74"/>
      <c r="F33" s="74"/>
      <c r="G33" s="74"/>
      <c r="H33" s="74"/>
      <c r="I33" s="74"/>
      <c r="J33" s="74"/>
      <c r="K33" s="74"/>
      <c r="L33" s="74"/>
      <c r="M33" s="74"/>
    </row>
    <row r="34" spans="1:13" x14ac:dyDescent="0.3">
      <c r="A34" s="56" t="s">
        <v>162</v>
      </c>
      <c r="B34" s="73"/>
      <c r="C34" s="73"/>
      <c r="D34" s="73"/>
      <c r="E34" s="73"/>
      <c r="F34" s="73"/>
      <c r="G34" s="73"/>
      <c r="H34" s="73"/>
      <c r="I34" s="73"/>
      <c r="J34" s="73"/>
      <c r="K34" s="73"/>
      <c r="L34" s="73"/>
      <c r="M34" s="73"/>
    </row>
    <row r="36" spans="1:13" x14ac:dyDescent="0.3">
      <c r="A36" s="70" t="s">
        <v>169</v>
      </c>
      <c r="B36" s="202" t="s">
        <v>285</v>
      </c>
      <c r="C36" s="202"/>
      <c r="D36" s="202"/>
      <c r="E36" s="202"/>
      <c r="F36" s="202"/>
      <c r="G36" s="202"/>
      <c r="H36" s="202"/>
      <c r="I36" s="202"/>
      <c r="J36" s="202"/>
      <c r="K36" s="202"/>
      <c r="L36" s="202"/>
      <c r="M36" s="202"/>
    </row>
    <row r="37" spans="1:13" x14ac:dyDescent="0.3">
      <c r="A37" s="51"/>
      <c r="B37" s="55" t="s">
        <v>133</v>
      </c>
      <c r="C37" s="55" t="s">
        <v>134</v>
      </c>
      <c r="D37" s="55" t="s">
        <v>135</v>
      </c>
      <c r="E37" s="55" t="s">
        <v>136</v>
      </c>
      <c r="F37" s="55" t="s">
        <v>137</v>
      </c>
      <c r="G37" s="55" t="s">
        <v>138</v>
      </c>
      <c r="H37" s="55" t="s">
        <v>139</v>
      </c>
      <c r="I37" s="55" t="s">
        <v>140</v>
      </c>
      <c r="J37" s="55" t="s">
        <v>141</v>
      </c>
      <c r="K37" s="55" t="s">
        <v>142</v>
      </c>
      <c r="L37" s="55" t="s">
        <v>143</v>
      </c>
      <c r="M37" s="55" t="s">
        <v>144</v>
      </c>
    </row>
    <row r="38" spans="1:13" x14ac:dyDescent="0.3">
      <c r="A38" s="56" t="s">
        <v>145</v>
      </c>
      <c r="B38" s="74"/>
      <c r="C38" s="74"/>
      <c r="D38" s="74"/>
      <c r="E38" s="74"/>
      <c r="F38" s="74"/>
      <c r="G38" s="74"/>
      <c r="H38" s="74"/>
      <c r="I38" s="74"/>
      <c r="J38" s="74"/>
      <c r="K38" s="74"/>
      <c r="L38" s="74"/>
      <c r="M38" s="74"/>
    </row>
    <row r="39" spans="1:13" x14ac:dyDescent="0.3">
      <c r="A39" s="56" t="s">
        <v>162</v>
      </c>
      <c r="B39" s="73"/>
      <c r="C39" s="73"/>
      <c r="D39" s="73"/>
      <c r="E39" s="73"/>
      <c r="F39" s="73"/>
      <c r="G39" s="73"/>
      <c r="H39" s="73"/>
      <c r="I39" s="73"/>
      <c r="J39" s="73"/>
      <c r="K39" s="73"/>
      <c r="L39" s="73"/>
      <c r="M39" s="73"/>
    </row>
    <row r="41" spans="1:13" x14ac:dyDescent="0.3">
      <c r="A41" s="70" t="s">
        <v>159</v>
      </c>
      <c r="B41" s="202" t="s">
        <v>170</v>
      </c>
      <c r="C41" s="202"/>
      <c r="D41" s="202"/>
      <c r="E41" s="202"/>
      <c r="F41" s="202"/>
      <c r="G41" s="202"/>
      <c r="H41" s="202"/>
      <c r="I41" s="202"/>
      <c r="J41" s="202"/>
      <c r="K41" s="202"/>
      <c r="L41" s="202"/>
      <c r="M41" s="202"/>
    </row>
    <row r="42" spans="1:13" x14ac:dyDescent="0.3">
      <c r="A42" s="51"/>
      <c r="B42" s="55" t="s">
        <v>133</v>
      </c>
      <c r="C42" s="55" t="s">
        <v>134</v>
      </c>
      <c r="D42" s="55" t="s">
        <v>135</v>
      </c>
      <c r="E42" s="55" t="s">
        <v>136</v>
      </c>
      <c r="F42" s="55" t="s">
        <v>137</v>
      </c>
      <c r="G42" s="55" t="s">
        <v>138</v>
      </c>
      <c r="H42" s="55" t="s">
        <v>139</v>
      </c>
      <c r="I42" s="55" t="s">
        <v>140</v>
      </c>
      <c r="J42" s="55" t="s">
        <v>141</v>
      </c>
      <c r="K42" s="55" t="s">
        <v>142</v>
      </c>
      <c r="L42" s="55" t="s">
        <v>143</v>
      </c>
      <c r="M42" s="55" t="s">
        <v>144</v>
      </c>
    </row>
    <row r="43" spans="1:13" x14ac:dyDescent="0.3">
      <c r="A43" s="56" t="s">
        <v>145</v>
      </c>
      <c r="B43" s="73"/>
      <c r="C43" s="73"/>
      <c r="D43" s="73"/>
      <c r="E43" s="73"/>
      <c r="F43" s="73"/>
      <c r="G43" s="73"/>
      <c r="H43" s="73"/>
      <c r="I43" s="73"/>
      <c r="J43" s="73"/>
      <c r="K43" s="73"/>
      <c r="L43" s="73"/>
      <c r="M43" s="73"/>
    </row>
    <row r="44" spans="1:13" x14ac:dyDescent="0.3">
      <c r="A44" s="56" t="s">
        <v>162</v>
      </c>
      <c r="B44" s="73"/>
      <c r="C44" s="73"/>
      <c r="D44" s="73"/>
      <c r="E44" s="73"/>
      <c r="F44" s="73"/>
      <c r="G44" s="73"/>
      <c r="H44" s="73"/>
      <c r="I44" s="73"/>
      <c r="J44" s="73"/>
      <c r="K44" s="73"/>
      <c r="L44" s="73"/>
      <c r="M44" s="73"/>
    </row>
    <row r="46" spans="1:13" ht="15" customHeight="1" x14ac:dyDescent="0.3">
      <c r="A46" s="70" t="s">
        <v>171</v>
      </c>
      <c r="B46" s="202" t="s">
        <v>446</v>
      </c>
      <c r="C46" s="202"/>
      <c r="D46" s="202"/>
      <c r="E46" s="202"/>
      <c r="F46" s="202"/>
      <c r="G46" s="202"/>
      <c r="H46" s="202"/>
      <c r="I46" s="202"/>
      <c r="J46" s="202"/>
      <c r="K46" s="202"/>
      <c r="L46" s="202"/>
      <c r="M46" s="202"/>
    </row>
    <row r="47" spans="1:13" x14ac:dyDescent="0.3">
      <c r="A47" s="51"/>
      <c r="B47" s="55" t="s">
        <v>133</v>
      </c>
      <c r="C47" s="55" t="s">
        <v>134</v>
      </c>
      <c r="D47" s="55" t="s">
        <v>135</v>
      </c>
      <c r="E47" s="55" t="s">
        <v>136</v>
      </c>
      <c r="F47" s="55" t="s">
        <v>137</v>
      </c>
      <c r="G47" s="55" t="s">
        <v>138</v>
      </c>
      <c r="H47" s="55" t="s">
        <v>139</v>
      </c>
      <c r="I47" s="55" t="s">
        <v>140</v>
      </c>
      <c r="J47" s="55" t="s">
        <v>141</v>
      </c>
      <c r="K47" s="55" t="s">
        <v>142</v>
      </c>
      <c r="L47" s="55" t="s">
        <v>143</v>
      </c>
      <c r="M47" s="55" t="s">
        <v>144</v>
      </c>
    </row>
    <row r="48" spans="1:13" x14ac:dyDescent="0.3">
      <c r="A48" s="56" t="s">
        <v>145</v>
      </c>
      <c r="B48" s="73"/>
      <c r="C48" s="73"/>
      <c r="D48" s="73"/>
      <c r="E48" s="73"/>
      <c r="F48" s="73"/>
      <c r="G48" s="73"/>
      <c r="H48" s="73"/>
      <c r="I48" s="73"/>
      <c r="J48" s="73"/>
      <c r="K48" s="73"/>
      <c r="L48" s="73"/>
      <c r="M48" s="73"/>
    </row>
    <row r="49" spans="1:13" x14ac:dyDescent="0.3">
      <c r="A49" s="56" t="s">
        <v>162</v>
      </c>
      <c r="B49" s="73"/>
      <c r="C49" s="73"/>
      <c r="D49" s="73"/>
      <c r="E49" s="73"/>
      <c r="F49" s="73"/>
      <c r="G49" s="73"/>
      <c r="H49" s="73"/>
      <c r="I49" s="73"/>
      <c r="J49" s="73"/>
      <c r="K49" s="73"/>
      <c r="L49" s="73"/>
      <c r="M49" s="73"/>
    </row>
    <row r="51" spans="1:13" s="94" customFormat="1" ht="17.25" x14ac:dyDescent="0.35">
      <c r="A51" s="112" t="s">
        <v>237</v>
      </c>
      <c r="B51" s="203"/>
      <c r="C51" s="203"/>
      <c r="D51" s="203"/>
      <c r="E51" s="203"/>
      <c r="F51" s="203"/>
      <c r="G51" s="203"/>
      <c r="H51" s="203"/>
      <c r="I51" s="203"/>
      <c r="J51" s="203"/>
      <c r="K51" s="203"/>
      <c r="L51" s="203"/>
      <c r="M51" s="203"/>
    </row>
    <row r="52" spans="1:13" x14ac:dyDescent="0.3">
      <c r="A52" s="70" t="s">
        <v>204</v>
      </c>
      <c r="B52" s="202" t="s">
        <v>287</v>
      </c>
      <c r="C52" s="202"/>
      <c r="D52" s="202"/>
      <c r="E52" s="202"/>
      <c r="F52" s="202"/>
      <c r="G52" s="202"/>
      <c r="H52" s="202"/>
      <c r="I52" s="202"/>
      <c r="J52" s="202"/>
      <c r="K52" s="202"/>
      <c r="L52" s="202"/>
      <c r="M52" s="202"/>
    </row>
    <row r="53" spans="1:13" x14ac:dyDescent="0.3">
      <c r="A53" s="51"/>
      <c r="B53" s="55" t="s">
        <v>133</v>
      </c>
      <c r="C53" s="55" t="s">
        <v>134</v>
      </c>
      <c r="D53" s="55" t="s">
        <v>135</v>
      </c>
      <c r="E53" s="55" t="s">
        <v>136</v>
      </c>
      <c r="F53" s="55" t="s">
        <v>137</v>
      </c>
      <c r="G53" s="55" t="s">
        <v>138</v>
      </c>
      <c r="H53" s="55" t="s">
        <v>139</v>
      </c>
      <c r="I53" s="55" t="s">
        <v>140</v>
      </c>
      <c r="J53" s="55" t="s">
        <v>141</v>
      </c>
      <c r="K53" s="55" t="s">
        <v>142</v>
      </c>
      <c r="L53" s="55" t="s">
        <v>143</v>
      </c>
      <c r="M53" s="55" t="s">
        <v>144</v>
      </c>
    </row>
    <row r="54" spans="1:13" x14ac:dyDescent="0.3">
      <c r="A54" s="56" t="s">
        <v>205</v>
      </c>
      <c r="B54" s="74"/>
      <c r="C54" s="74"/>
      <c r="D54" s="74"/>
      <c r="E54" s="74"/>
      <c r="F54" s="74"/>
      <c r="G54" s="74"/>
      <c r="H54" s="74"/>
      <c r="I54" s="74"/>
      <c r="J54" s="74"/>
      <c r="K54" s="74"/>
      <c r="L54" s="74"/>
      <c r="M54" s="74"/>
    </row>
    <row r="55" spans="1:13" x14ac:dyDescent="0.3">
      <c r="A55" s="56" t="s">
        <v>286</v>
      </c>
      <c r="B55" s="74"/>
      <c r="C55" s="74"/>
      <c r="D55" s="74"/>
      <c r="E55" s="74"/>
      <c r="F55" s="74"/>
      <c r="G55" s="74"/>
      <c r="H55" s="74"/>
      <c r="I55" s="74"/>
      <c r="J55" s="74"/>
      <c r="K55" s="74"/>
      <c r="L55" s="74"/>
      <c r="M55" s="74"/>
    </row>
    <row r="56" spans="1:13" x14ac:dyDescent="0.3">
      <c r="A56" s="56" t="s">
        <v>288</v>
      </c>
      <c r="B56" s="74"/>
      <c r="C56" s="74"/>
      <c r="D56" s="74"/>
      <c r="E56" s="74"/>
      <c r="F56" s="74"/>
      <c r="G56" s="74"/>
      <c r="H56" s="74"/>
      <c r="I56" s="74"/>
      <c r="J56" s="74"/>
      <c r="K56" s="74"/>
      <c r="L56" s="74"/>
      <c r="M56" s="74"/>
    </row>
    <row r="57" spans="1:13" x14ac:dyDescent="0.3">
      <c r="A57" s="56" t="s">
        <v>206</v>
      </c>
      <c r="B57" s="74"/>
      <c r="C57" s="74"/>
      <c r="D57" s="74"/>
      <c r="E57" s="74"/>
      <c r="F57" s="74"/>
      <c r="G57" s="74"/>
      <c r="H57" s="74"/>
      <c r="I57" s="74"/>
      <c r="J57" s="74"/>
      <c r="K57" s="74"/>
      <c r="L57" s="74"/>
      <c r="M57" s="74"/>
    </row>
    <row r="59" spans="1:13" x14ac:dyDescent="0.3">
      <c r="A59" s="70" t="s">
        <v>289</v>
      </c>
      <c r="B59" s="202" t="s">
        <v>290</v>
      </c>
      <c r="C59" s="202"/>
      <c r="D59" s="202"/>
      <c r="E59" s="202"/>
      <c r="F59" s="202"/>
      <c r="G59" s="202"/>
      <c r="H59" s="202"/>
      <c r="I59" s="202"/>
      <c r="J59" s="202"/>
      <c r="K59" s="202"/>
      <c r="L59" s="202"/>
      <c r="M59" s="202"/>
    </row>
    <row r="60" spans="1:13" x14ac:dyDescent="0.3">
      <c r="A60" s="51"/>
      <c r="B60" s="55" t="s">
        <v>133</v>
      </c>
      <c r="C60" s="55" t="s">
        <v>134</v>
      </c>
      <c r="D60" s="55" t="s">
        <v>135</v>
      </c>
      <c r="E60" s="55" t="s">
        <v>136</v>
      </c>
      <c r="F60" s="55" t="s">
        <v>137</v>
      </c>
      <c r="G60" s="55" t="s">
        <v>138</v>
      </c>
      <c r="H60" s="55" t="s">
        <v>139</v>
      </c>
      <c r="I60" s="55" t="s">
        <v>140</v>
      </c>
      <c r="J60" s="55" t="s">
        <v>141</v>
      </c>
      <c r="K60" s="55" t="s">
        <v>142</v>
      </c>
      <c r="L60" s="55" t="s">
        <v>143</v>
      </c>
      <c r="M60" s="55" t="s">
        <v>144</v>
      </c>
    </row>
    <row r="61" spans="1:13" x14ac:dyDescent="0.3">
      <c r="A61" s="56" t="s">
        <v>205</v>
      </c>
      <c r="B61" s="74"/>
      <c r="C61" s="74"/>
      <c r="D61" s="74"/>
      <c r="E61" s="74"/>
      <c r="F61" s="74"/>
      <c r="G61" s="74"/>
      <c r="H61" s="74"/>
      <c r="I61" s="74"/>
      <c r="J61" s="74"/>
      <c r="K61" s="74"/>
      <c r="L61" s="74"/>
      <c r="M61" s="74"/>
    </row>
    <row r="62" spans="1:13" x14ac:dyDescent="0.3">
      <c r="A62" s="56" t="s">
        <v>286</v>
      </c>
      <c r="B62" s="74"/>
      <c r="C62" s="74"/>
      <c r="D62" s="74"/>
      <c r="E62" s="74"/>
      <c r="F62" s="74"/>
      <c r="G62" s="74"/>
      <c r="H62" s="74"/>
      <c r="I62" s="74"/>
      <c r="J62" s="74"/>
      <c r="K62" s="74"/>
      <c r="L62" s="74"/>
      <c r="M62" s="74"/>
    </row>
    <row r="63" spans="1:13" x14ac:dyDescent="0.3">
      <c r="A63" s="56" t="s">
        <v>288</v>
      </c>
      <c r="B63" s="74"/>
      <c r="C63" s="74"/>
      <c r="D63" s="74"/>
      <c r="E63" s="74"/>
      <c r="F63" s="74"/>
      <c r="G63" s="74"/>
      <c r="H63" s="74"/>
      <c r="I63" s="74"/>
      <c r="J63" s="74"/>
      <c r="K63" s="74"/>
      <c r="L63" s="74"/>
      <c r="M63" s="74"/>
    </row>
    <row r="64" spans="1:13" x14ac:dyDescent="0.3">
      <c r="A64" s="56" t="s">
        <v>206</v>
      </c>
      <c r="B64" s="74"/>
      <c r="C64" s="74"/>
      <c r="D64" s="74"/>
      <c r="E64" s="74"/>
      <c r="F64" s="74"/>
      <c r="G64" s="74"/>
      <c r="H64" s="74"/>
      <c r="I64" s="74"/>
      <c r="J64" s="74"/>
      <c r="K64" s="74"/>
      <c r="L64" s="74"/>
      <c r="M64" s="74"/>
    </row>
    <row r="65" spans="1:13" x14ac:dyDescent="0.3">
      <c r="A65" s="56" t="s">
        <v>291</v>
      </c>
      <c r="B65" s="74"/>
      <c r="C65" s="74"/>
      <c r="D65" s="74"/>
      <c r="E65" s="74"/>
      <c r="F65" s="74"/>
      <c r="G65" s="74"/>
      <c r="H65" s="74"/>
      <c r="I65" s="74"/>
      <c r="J65" s="74"/>
      <c r="K65" s="74"/>
      <c r="L65" s="74"/>
      <c r="M65" s="74"/>
    </row>
    <row r="67" spans="1:13" x14ac:dyDescent="0.3">
      <c r="A67" s="70" t="s">
        <v>230</v>
      </c>
      <c r="B67" s="202" t="s">
        <v>246</v>
      </c>
      <c r="C67" s="202"/>
      <c r="D67" s="202"/>
      <c r="E67" s="202"/>
      <c r="F67" s="202"/>
      <c r="G67" s="202"/>
      <c r="H67" s="202"/>
      <c r="I67" s="202"/>
      <c r="J67" s="202"/>
      <c r="K67" s="202"/>
      <c r="L67" s="202"/>
      <c r="M67" s="202"/>
    </row>
    <row r="68" spans="1:13" x14ac:dyDescent="0.3">
      <c r="A68" s="51"/>
      <c r="B68" s="55" t="s">
        <v>133</v>
      </c>
      <c r="C68" s="55" t="s">
        <v>134</v>
      </c>
      <c r="D68" s="55" t="s">
        <v>135</v>
      </c>
      <c r="E68" s="55" t="s">
        <v>136</v>
      </c>
      <c r="F68" s="55" t="s">
        <v>137</v>
      </c>
      <c r="G68" s="55" t="s">
        <v>138</v>
      </c>
      <c r="H68" s="55" t="s">
        <v>139</v>
      </c>
      <c r="I68" s="55" t="s">
        <v>140</v>
      </c>
      <c r="J68" s="55" t="s">
        <v>141</v>
      </c>
      <c r="K68" s="55" t="s">
        <v>142</v>
      </c>
      <c r="L68" s="55" t="s">
        <v>143</v>
      </c>
      <c r="M68" s="55" t="s">
        <v>144</v>
      </c>
    </row>
    <row r="69" spans="1:13" x14ac:dyDescent="0.3">
      <c r="A69" s="56" t="s">
        <v>227</v>
      </c>
      <c r="B69" s="73"/>
      <c r="C69" s="73"/>
      <c r="D69" s="73"/>
      <c r="E69" s="73"/>
      <c r="F69" s="73"/>
      <c r="G69" s="73"/>
      <c r="H69" s="73"/>
      <c r="I69" s="73"/>
      <c r="J69" s="73"/>
      <c r="K69" s="73"/>
      <c r="L69" s="73"/>
      <c r="M69" s="73"/>
    </row>
    <row r="70" spans="1:13" x14ac:dyDescent="0.3">
      <c r="A70" s="56" t="s">
        <v>231</v>
      </c>
      <c r="B70" s="73"/>
      <c r="C70" s="73"/>
      <c r="D70" s="73"/>
      <c r="E70" s="73"/>
      <c r="F70" s="73"/>
      <c r="G70" s="73"/>
      <c r="H70" s="73"/>
      <c r="I70" s="73"/>
      <c r="J70" s="73"/>
      <c r="K70" s="73"/>
      <c r="L70" s="73"/>
      <c r="M70" s="73"/>
    </row>
    <row r="71" spans="1:13" x14ac:dyDescent="0.3">
      <c r="A71" s="56" t="s">
        <v>233</v>
      </c>
      <c r="B71" s="73"/>
      <c r="C71" s="73"/>
      <c r="D71" s="73"/>
      <c r="E71" s="73"/>
      <c r="F71" s="73"/>
      <c r="G71" s="73"/>
      <c r="H71" s="73"/>
      <c r="I71" s="73"/>
      <c r="J71" s="73"/>
      <c r="K71" s="73"/>
      <c r="L71" s="73"/>
      <c r="M71" s="73"/>
    </row>
    <row r="73" spans="1:13" x14ac:dyDescent="0.3">
      <c r="A73" s="70" t="s">
        <v>269</v>
      </c>
      <c r="B73" s="202" t="s">
        <v>247</v>
      </c>
      <c r="C73" s="202"/>
      <c r="D73" s="202"/>
      <c r="E73" s="202"/>
      <c r="F73" s="202"/>
      <c r="G73" s="202"/>
      <c r="H73" s="202"/>
      <c r="I73" s="202"/>
      <c r="J73" s="202"/>
      <c r="K73" s="202"/>
      <c r="L73" s="202"/>
      <c r="M73" s="202"/>
    </row>
    <row r="74" spans="1:13" x14ac:dyDescent="0.3">
      <c r="A74" s="51"/>
      <c r="B74" s="55" t="s">
        <v>133</v>
      </c>
      <c r="C74" s="55" t="s">
        <v>134</v>
      </c>
      <c r="D74" s="55" t="s">
        <v>135</v>
      </c>
      <c r="E74" s="55" t="s">
        <v>136</v>
      </c>
      <c r="F74" s="55" t="s">
        <v>137</v>
      </c>
      <c r="G74" s="55" t="s">
        <v>138</v>
      </c>
      <c r="H74" s="55" t="s">
        <v>139</v>
      </c>
      <c r="I74" s="55" t="s">
        <v>140</v>
      </c>
      <c r="J74" s="55" t="s">
        <v>141</v>
      </c>
      <c r="K74" s="55" t="s">
        <v>142</v>
      </c>
      <c r="L74" s="55" t="s">
        <v>143</v>
      </c>
      <c r="M74" s="55" t="s">
        <v>144</v>
      </c>
    </row>
    <row r="75" spans="1:13" x14ac:dyDescent="0.3">
      <c r="A75" s="56" t="s">
        <v>234</v>
      </c>
      <c r="B75" s="69"/>
      <c r="C75" s="69"/>
      <c r="D75" s="69"/>
      <c r="E75" s="69"/>
      <c r="F75" s="69"/>
      <c r="G75" s="69"/>
      <c r="H75" s="69"/>
      <c r="I75" s="69"/>
      <c r="J75" s="69"/>
      <c r="K75" s="69"/>
      <c r="L75" s="69"/>
      <c r="M75" s="69"/>
    </row>
    <row r="76" spans="1:13" x14ac:dyDescent="0.3">
      <c r="A76" s="56" t="s">
        <v>231</v>
      </c>
      <c r="B76" s="69"/>
      <c r="C76" s="69"/>
      <c r="D76" s="69"/>
      <c r="E76" s="69"/>
      <c r="F76" s="69"/>
      <c r="G76" s="69"/>
      <c r="H76" s="69"/>
      <c r="I76" s="69"/>
      <c r="J76" s="69"/>
      <c r="K76" s="69"/>
      <c r="L76" s="69"/>
      <c r="M76" s="69"/>
    </row>
    <row r="77" spans="1:13" x14ac:dyDescent="0.3">
      <c r="A77" s="56" t="s">
        <v>233</v>
      </c>
      <c r="B77" s="69"/>
      <c r="C77" s="69"/>
      <c r="D77" s="69"/>
      <c r="E77" s="69"/>
      <c r="F77" s="69"/>
      <c r="G77" s="69"/>
      <c r="H77" s="69"/>
      <c r="I77" s="69"/>
      <c r="J77" s="69"/>
      <c r="K77" s="69"/>
      <c r="L77" s="69"/>
      <c r="M77" s="69"/>
    </row>
    <row r="78" spans="1:13" x14ac:dyDescent="0.3">
      <c r="A78" s="56" t="s">
        <v>292</v>
      </c>
      <c r="B78" s="69"/>
      <c r="C78" s="69"/>
      <c r="D78" s="69"/>
      <c r="E78" s="69"/>
      <c r="F78" s="69"/>
      <c r="G78" s="69"/>
      <c r="H78" s="69"/>
      <c r="I78" s="69"/>
      <c r="J78" s="69"/>
      <c r="K78" s="69"/>
      <c r="L78" s="69"/>
      <c r="M78" s="69"/>
    </row>
    <row r="79" spans="1:13" x14ac:dyDescent="0.3">
      <c r="A79" s="56" t="s">
        <v>88</v>
      </c>
      <c r="B79" s="69"/>
      <c r="C79" s="69"/>
      <c r="D79" s="69"/>
      <c r="E79" s="69"/>
      <c r="F79" s="69"/>
      <c r="G79" s="69"/>
      <c r="H79" s="69"/>
      <c r="I79" s="69"/>
      <c r="J79" s="69"/>
      <c r="K79" s="69"/>
      <c r="L79" s="69"/>
      <c r="M79" s="69"/>
    </row>
    <row r="81" spans="1:13" x14ac:dyDescent="0.3">
      <c r="A81" s="70" t="s">
        <v>224</v>
      </c>
      <c r="B81" s="202" t="s">
        <v>293</v>
      </c>
      <c r="C81" s="202"/>
      <c r="D81" s="202"/>
      <c r="E81" s="202"/>
      <c r="F81" s="202"/>
      <c r="G81" s="202"/>
      <c r="H81" s="202"/>
      <c r="I81" s="202"/>
      <c r="J81" s="202"/>
      <c r="K81" s="202"/>
      <c r="L81" s="202"/>
      <c r="M81" s="202"/>
    </row>
    <row r="82" spans="1:13" x14ac:dyDescent="0.3">
      <c r="A82" s="51"/>
      <c r="B82" s="55" t="s">
        <v>133</v>
      </c>
      <c r="C82" s="55" t="s">
        <v>134</v>
      </c>
      <c r="D82" s="55" t="s">
        <v>135</v>
      </c>
      <c r="E82" s="55" t="s">
        <v>136</v>
      </c>
      <c r="F82" s="55" t="s">
        <v>137</v>
      </c>
      <c r="G82" s="55" t="s">
        <v>138</v>
      </c>
      <c r="H82" s="55" t="s">
        <v>139</v>
      </c>
      <c r="I82" s="55" t="s">
        <v>140</v>
      </c>
      <c r="J82" s="55" t="s">
        <v>141</v>
      </c>
      <c r="K82" s="55" t="s">
        <v>142</v>
      </c>
      <c r="L82" s="55" t="s">
        <v>143</v>
      </c>
      <c r="M82" s="55" t="s">
        <v>144</v>
      </c>
    </row>
    <row r="83" spans="1:13" x14ac:dyDescent="0.3">
      <c r="A83" s="56" t="s">
        <v>235</v>
      </c>
      <c r="B83" s="69"/>
      <c r="C83" s="69"/>
      <c r="D83" s="69"/>
      <c r="E83" s="69"/>
      <c r="F83" s="69"/>
      <c r="G83" s="69"/>
      <c r="H83" s="69"/>
      <c r="I83" s="69"/>
      <c r="J83" s="69"/>
      <c r="K83" s="69"/>
      <c r="L83" s="69"/>
      <c r="M83" s="69"/>
    </row>
    <row r="85" spans="1:13" x14ac:dyDescent="0.3">
      <c r="A85" s="70" t="s">
        <v>236</v>
      </c>
      <c r="B85" s="202" t="s">
        <v>248</v>
      </c>
      <c r="C85" s="202"/>
      <c r="D85" s="202"/>
      <c r="E85" s="202"/>
      <c r="F85" s="202"/>
      <c r="G85" s="202"/>
      <c r="H85" s="202"/>
      <c r="I85" s="202"/>
      <c r="J85" s="202"/>
      <c r="K85" s="202"/>
      <c r="L85" s="202"/>
      <c r="M85" s="202"/>
    </row>
    <row r="86" spans="1:13" x14ac:dyDescent="0.3">
      <c r="A86" s="51"/>
      <c r="B86" s="55" t="s">
        <v>133</v>
      </c>
      <c r="C86" s="55" t="s">
        <v>134</v>
      </c>
      <c r="D86" s="55" t="s">
        <v>135</v>
      </c>
      <c r="E86" s="55" t="s">
        <v>136</v>
      </c>
      <c r="F86" s="55" t="s">
        <v>137</v>
      </c>
      <c r="G86" s="55" t="s">
        <v>138</v>
      </c>
      <c r="H86" s="55" t="s">
        <v>139</v>
      </c>
      <c r="I86" s="55" t="s">
        <v>140</v>
      </c>
      <c r="J86" s="55" t="s">
        <v>141</v>
      </c>
      <c r="K86" s="55" t="s">
        <v>142</v>
      </c>
      <c r="L86" s="55" t="s">
        <v>143</v>
      </c>
      <c r="M86" s="55" t="s">
        <v>144</v>
      </c>
    </row>
    <row r="87" spans="1:13" x14ac:dyDescent="0.3">
      <c r="A87" s="56" t="s">
        <v>145</v>
      </c>
      <c r="B87" s="73"/>
      <c r="C87" s="73"/>
      <c r="D87" s="73"/>
      <c r="E87" s="73"/>
      <c r="F87" s="73"/>
      <c r="G87" s="73"/>
      <c r="H87" s="73"/>
      <c r="I87" s="73"/>
      <c r="J87" s="73"/>
      <c r="K87" s="73"/>
      <c r="L87" s="73"/>
      <c r="M87" s="73"/>
    </row>
    <row r="88" spans="1:13" x14ac:dyDescent="0.3">
      <c r="A88" s="56" t="s">
        <v>162</v>
      </c>
      <c r="B88" s="73"/>
      <c r="C88" s="73"/>
      <c r="D88" s="73"/>
      <c r="E88" s="73"/>
      <c r="F88" s="73"/>
      <c r="G88" s="73"/>
      <c r="H88" s="73"/>
      <c r="I88" s="73"/>
      <c r="J88" s="73"/>
      <c r="K88" s="73"/>
      <c r="L88" s="73"/>
      <c r="M88" s="73"/>
    </row>
    <row r="89" spans="1:13" x14ac:dyDescent="0.3">
      <c r="A89" s="56" t="s">
        <v>276</v>
      </c>
      <c r="B89" s="73"/>
      <c r="C89" s="73"/>
      <c r="D89" s="73"/>
      <c r="E89" s="73"/>
      <c r="F89" s="73"/>
      <c r="G89" s="73"/>
      <c r="H89" s="73"/>
      <c r="I89" s="73"/>
      <c r="J89" s="73"/>
      <c r="K89" s="73"/>
      <c r="L89" s="73"/>
      <c r="M89" s="73"/>
    </row>
    <row r="91" spans="1:13" x14ac:dyDescent="0.3">
      <c r="A91" s="70" t="s">
        <v>294</v>
      </c>
      <c r="B91" s="202" t="s">
        <v>295</v>
      </c>
      <c r="C91" s="202"/>
      <c r="D91" s="202"/>
      <c r="E91" s="202"/>
      <c r="F91" s="202"/>
      <c r="G91" s="202"/>
      <c r="H91" s="202"/>
      <c r="I91" s="202"/>
      <c r="J91" s="202"/>
      <c r="K91" s="202"/>
      <c r="L91" s="202"/>
      <c r="M91" s="202"/>
    </row>
    <row r="92" spans="1:13" x14ac:dyDescent="0.3">
      <c r="A92" s="51"/>
      <c r="B92" s="55" t="s">
        <v>133</v>
      </c>
      <c r="C92" s="55" t="s">
        <v>134</v>
      </c>
      <c r="D92" s="55" t="s">
        <v>135</v>
      </c>
      <c r="E92" s="55" t="s">
        <v>136</v>
      </c>
      <c r="F92" s="55" t="s">
        <v>137</v>
      </c>
      <c r="G92" s="55" t="s">
        <v>138</v>
      </c>
      <c r="H92" s="55" t="s">
        <v>139</v>
      </c>
      <c r="I92" s="55" t="s">
        <v>140</v>
      </c>
      <c r="J92" s="55" t="s">
        <v>141</v>
      </c>
      <c r="K92" s="55" t="s">
        <v>142</v>
      </c>
      <c r="L92" s="55" t="s">
        <v>143</v>
      </c>
      <c r="M92" s="55" t="s">
        <v>144</v>
      </c>
    </row>
    <row r="93" spans="1:13" x14ac:dyDescent="0.3">
      <c r="A93" s="56" t="s">
        <v>145</v>
      </c>
      <c r="B93" s="69"/>
      <c r="C93" s="69"/>
      <c r="D93" s="69"/>
      <c r="E93" s="69"/>
      <c r="F93" s="69"/>
      <c r="G93" s="69"/>
      <c r="H93" s="69"/>
      <c r="I93" s="69"/>
      <c r="J93" s="69"/>
      <c r="K93" s="69"/>
      <c r="L93" s="69"/>
      <c r="M93" s="69"/>
    </row>
    <row r="94" spans="1:13" x14ac:dyDescent="0.3">
      <c r="A94" s="56" t="s">
        <v>162</v>
      </c>
      <c r="B94" s="69"/>
      <c r="C94" s="69"/>
      <c r="D94" s="69"/>
      <c r="E94" s="69"/>
      <c r="F94" s="69"/>
      <c r="G94" s="69"/>
      <c r="H94" s="69"/>
      <c r="I94" s="69"/>
      <c r="J94" s="69"/>
      <c r="K94" s="69"/>
      <c r="L94" s="69"/>
      <c r="M94" s="69"/>
    </row>
    <row r="96" spans="1:13" ht="16.5" customHeight="1" x14ac:dyDescent="0.3">
      <c r="A96" s="70" t="s">
        <v>444</v>
      </c>
      <c r="B96" s="202" t="s">
        <v>447</v>
      </c>
      <c r="C96" s="202"/>
      <c r="D96" s="202"/>
      <c r="E96" s="202"/>
      <c r="F96" s="202"/>
      <c r="G96" s="202"/>
      <c r="H96" s="202"/>
      <c r="I96" s="202"/>
      <c r="J96" s="202"/>
      <c r="K96" s="202"/>
      <c r="L96" s="202"/>
      <c r="M96" s="202"/>
    </row>
    <row r="97" spans="1:13" x14ac:dyDescent="0.3">
      <c r="A97" s="51"/>
      <c r="B97" s="55" t="s">
        <v>133</v>
      </c>
      <c r="C97" s="55" t="s">
        <v>134</v>
      </c>
      <c r="D97" s="55" t="s">
        <v>135</v>
      </c>
      <c r="E97" s="55" t="s">
        <v>136</v>
      </c>
      <c r="F97" s="55" t="s">
        <v>137</v>
      </c>
      <c r="G97" s="55" t="s">
        <v>138</v>
      </c>
      <c r="H97" s="55" t="s">
        <v>139</v>
      </c>
      <c r="I97" s="55" t="s">
        <v>140</v>
      </c>
      <c r="J97" s="55" t="s">
        <v>141</v>
      </c>
      <c r="K97" s="55" t="s">
        <v>142</v>
      </c>
      <c r="L97" s="55" t="s">
        <v>143</v>
      </c>
      <c r="M97" s="55" t="s">
        <v>144</v>
      </c>
    </row>
    <row r="98" spans="1:13" x14ac:dyDescent="0.3">
      <c r="A98" s="56" t="s">
        <v>145</v>
      </c>
      <c r="B98" s="69"/>
      <c r="C98" s="69"/>
      <c r="D98" s="69"/>
      <c r="E98" s="69"/>
      <c r="F98" s="69"/>
      <c r="G98" s="69"/>
      <c r="H98" s="69"/>
      <c r="I98" s="69"/>
      <c r="J98" s="69"/>
      <c r="K98" s="69"/>
      <c r="L98" s="69"/>
      <c r="M98" s="69"/>
    </row>
    <row r="99" spans="1:13" x14ac:dyDescent="0.3">
      <c r="A99" s="56" t="s">
        <v>162</v>
      </c>
      <c r="B99" s="69"/>
      <c r="C99" s="69"/>
      <c r="D99" s="69"/>
      <c r="E99" s="69"/>
      <c r="F99" s="69"/>
      <c r="G99" s="69"/>
      <c r="H99" s="69"/>
      <c r="I99" s="69"/>
      <c r="J99" s="69"/>
      <c r="K99" s="69"/>
      <c r="L99" s="69"/>
      <c r="M99" s="69"/>
    </row>
    <row r="101" spans="1:13" x14ac:dyDescent="0.3">
      <c r="A101" s="70" t="s">
        <v>239</v>
      </c>
      <c r="B101" s="202" t="s">
        <v>249</v>
      </c>
      <c r="C101" s="202"/>
      <c r="D101" s="202"/>
      <c r="E101" s="202"/>
      <c r="F101" s="202"/>
      <c r="G101" s="202"/>
      <c r="H101" s="202"/>
      <c r="I101" s="202"/>
      <c r="J101" s="202"/>
      <c r="K101" s="202"/>
      <c r="L101" s="202"/>
      <c r="M101" s="202"/>
    </row>
    <row r="102" spans="1:13" x14ac:dyDescent="0.3">
      <c r="A102" s="51"/>
      <c r="B102" s="55" t="s">
        <v>133</v>
      </c>
      <c r="C102" s="55" t="s">
        <v>134</v>
      </c>
      <c r="D102" s="55" t="s">
        <v>135</v>
      </c>
      <c r="E102" s="55" t="s">
        <v>136</v>
      </c>
      <c r="F102" s="55" t="s">
        <v>137</v>
      </c>
      <c r="G102" s="55" t="s">
        <v>138</v>
      </c>
      <c r="H102" s="55" t="s">
        <v>139</v>
      </c>
      <c r="I102" s="55" t="s">
        <v>140</v>
      </c>
      <c r="J102" s="55" t="s">
        <v>141</v>
      </c>
      <c r="K102" s="55" t="s">
        <v>142</v>
      </c>
      <c r="L102" s="55" t="s">
        <v>143</v>
      </c>
      <c r="M102" s="55" t="s">
        <v>144</v>
      </c>
    </row>
    <row r="103" spans="1:13" x14ac:dyDescent="0.3">
      <c r="A103" s="56" t="s">
        <v>240</v>
      </c>
      <c r="B103" s="72"/>
      <c r="C103" s="72"/>
      <c r="D103" s="72"/>
      <c r="E103" s="72"/>
      <c r="F103" s="72"/>
      <c r="G103" s="72"/>
      <c r="H103" s="72"/>
      <c r="I103" s="72"/>
      <c r="J103" s="72"/>
      <c r="K103" s="72"/>
      <c r="L103" s="72"/>
      <c r="M103" s="72"/>
    </row>
    <row r="104" spans="1:13" x14ac:dyDescent="0.3">
      <c r="A104" s="56" t="s">
        <v>241</v>
      </c>
      <c r="B104" s="72"/>
      <c r="C104" s="72"/>
      <c r="D104" s="72"/>
      <c r="E104" s="72"/>
      <c r="F104" s="72"/>
      <c r="G104" s="72"/>
      <c r="H104" s="72"/>
      <c r="I104" s="72"/>
      <c r="J104" s="72"/>
      <c r="K104" s="72"/>
      <c r="L104" s="72"/>
      <c r="M104" s="72"/>
    </row>
  </sheetData>
  <mergeCells count="19">
    <mergeCell ref="B36:M36"/>
    <mergeCell ref="B41:M41"/>
    <mergeCell ref="B46:M46"/>
    <mergeCell ref="B8:M8"/>
    <mergeCell ref="B13:M13"/>
    <mergeCell ref="B17:M17"/>
    <mergeCell ref="B21:M21"/>
    <mergeCell ref="B26:M26"/>
    <mergeCell ref="B31:M31"/>
    <mergeCell ref="B51:M51"/>
    <mergeCell ref="B52:M52"/>
    <mergeCell ref="B59:M59"/>
    <mergeCell ref="B67:M67"/>
    <mergeCell ref="B73:M73"/>
    <mergeCell ref="B81:M81"/>
    <mergeCell ref="B85:M85"/>
    <mergeCell ref="B101:M101"/>
    <mergeCell ref="B96:M96"/>
    <mergeCell ref="B91:M9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6:N108"/>
  <sheetViews>
    <sheetView showGridLines="0" zoomScale="70" zoomScaleNormal="70" workbookViewId="0">
      <pane xSplit="1" ySplit="8" topLeftCell="B9" activePane="bottomRight" state="frozen"/>
      <selection activeCell="B104" sqref="B104"/>
      <selection pane="topRight" activeCell="B104" sqref="B104"/>
      <selection pane="bottomLeft" activeCell="B104" sqref="B104"/>
      <selection pane="bottomRight" activeCell="B9" sqref="B9"/>
    </sheetView>
  </sheetViews>
  <sheetFormatPr defaultColWidth="9.28515625" defaultRowHeight="15" x14ac:dyDescent="0.25"/>
  <cols>
    <col min="1" max="1" width="12" style="1" customWidth="1"/>
    <col min="2" max="2" width="16.140625" style="1" bestFit="1" customWidth="1"/>
    <col min="3" max="3" width="23.5703125" style="5" customWidth="1"/>
    <col min="4" max="4" width="26.42578125" style="2" bestFit="1" customWidth="1"/>
    <col min="5" max="5" width="15" style="3" customWidth="1"/>
    <col min="6" max="6" width="22.7109375" style="4" customWidth="1"/>
    <col min="7" max="7" width="13.7109375" style="16" customWidth="1"/>
    <col min="8" max="8" width="34.85546875" style="4" customWidth="1"/>
    <col min="9" max="9" width="15" style="29" customWidth="1"/>
    <col min="10" max="10" width="11.42578125" style="1" bestFit="1" customWidth="1"/>
    <col min="11" max="11" width="31.28515625" style="1" customWidth="1"/>
    <col min="12" max="12" width="32.42578125" style="1" customWidth="1"/>
    <col min="13" max="13" width="25.28515625" style="1" customWidth="1"/>
    <col min="14" max="14" width="26.28515625" style="1" customWidth="1"/>
    <col min="15" max="16384" width="9.28515625" style="1"/>
  </cols>
  <sheetData>
    <row r="6" spans="1:14" s="153" customFormat="1" ht="21" x14ac:dyDescent="0.25">
      <c r="A6" s="152" t="s">
        <v>34</v>
      </c>
      <c r="B6" s="152"/>
      <c r="C6" s="152"/>
      <c r="D6" s="154"/>
      <c r="E6" s="155"/>
      <c r="F6" s="156"/>
      <c r="G6" s="157"/>
      <c r="H6" s="156"/>
      <c r="I6" s="158"/>
    </row>
    <row r="7" spans="1:14" s="153" customFormat="1" ht="16.5" x14ac:dyDescent="0.25">
      <c r="A7" s="160" t="s">
        <v>35</v>
      </c>
      <c r="B7" s="160"/>
      <c r="C7" s="159"/>
      <c r="D7" s="159"/>
      <c r="E7" s="159"/>
      <c r="F7" s="159"/>
      <c r="G7" s="159"/>
      <c r="H7" s="156"/>
      <c r="I7" s="158"/>
    </row>
    <row r="8" spans="1:14" s="6" customFormat="1" ht="30" x14ac:dyDescent="0.3">
      <c r="A8" s="135" t="s">
        <v>23</v>
      </c>
      <c r="B8" s="135" t="s">
        <v>36</v>
      </c>
      <c r="C8" s="136" t="s">
        <v>19</v>
      </c>
      <c r="D8" s="136" t="s">
        <v>20</v>
      </c>
      <c r="E8" s="136" t="s">
        <v>6</v>
      </c>
      <c r="F8" s="136" t="s">
        <v>0</v>
      </c>
      <c r="G8" s="137" t="s">
        <v>1</v>
      </c>
      <c r="H8" s="136" t="s">
        <v>2</v>
      </c>
      <c r="I8" s="136" t="s">
        <v>42</v>
      </c>
      <c r="J8" s="138" t="s">
        <v>3</v>
      </c>
      <c r="K8" s="139" t="s">
        <v>4</v>
      </c>
      <c r="L8" s="140" t="s">
        <v>5</v>
      </c>
      <c r="M8" s="139" t="s">
        <v>223</v>
      </c>
      <c r="N8" s="139" t="s">
        <v>39</v>
      </c>
    </row>
    <row r="9" spans="1:14" x14ac:dyDescent="0.25">
      <c r="A9" s="7">
        <v>1</v>
      </c>
      <c r="B9" s="45"/>
      <c r="C9" s="8"/>
      <c r="D9" s="8"/>
      <c r="E9" s="8"/>
      <c r="F9" s="8"/>
      <c r="G9" s="17"/>
      <c r="H9" s="10"/>
      <c r="I9" s="8"/>
      <c r="J9" s="11"/>
      <c r="K9" s="12"/>
      <c r="L9" s="13"/>
      <c r="M9" s="20"/>
      <c r="N9" s="20"/>
    </row>
    <row r="10" spans="1:14" x14ac:dyDescent="0.25">
      <c r="A10" s="7">
        <v>2</v>
      </c>
      <c r="B10" s="45"/>
      <c r="C10" s="8"/>
      <c r="D10" s="8"/>
      <c r="E10" s="14"/>
      <c r="F10" s="10"/>
      <c r="G10" s="17"/>
      <c r="H10" s="11"/>
      <c r="I10" s="8"/>
      <c r="J10" s="11"/>
      <c r="K10" s="12"/>
      <c r="L10" s="13"/>
      <c r="M10" s="20"/>
      <c r="N10" s="19"/>
    </row>
    <row r="11" spans="1:14" x14ac:dyDescent="0.25">
      <c r="A11" s="7">
        <v>3</v>
      </c>
      <c r="B11" s="45"/>
      <c r="C11" s="8"/>
      <c r="D11" s="8"/>
      <c r="E11" s="14"/>
      <c r="F11" s="10"/>
      <c r="G11" s="17"/>
      <c r="H11" s="11"/>
      <c r="I11" s="8"/>
      <c r="J11" s="11"/>
      <c r="K11" s="12"/>
      <c r="L11" s="13"/>
      <c r="M11" s="20"/>
      <c r="N11" s="19"/>
    </row>
    <row r="12" spans="1:14" x14ac:dyDescent="0.25">
      <c r="A12" s="7">
        <v>4</v>
      </c>
      <c r="B12" s="45"/>
      <c r="C12" s="8"/>
      <c r="D12" s="8"/>
      <c r="E12" s="14"/>
      <c r="F12" s="10"/>
      <c r="G12" s="17"/>
      <c r="H12" s="11"/>
      <c r="I12" s="8"/>
      <c r="J12" s="11"/>
      <c r="K12" s="12"/>
      <c r="L12" s="13"/>
      <c r="M12" s="20"/>
      <c r="N12" s="19"/>
    </row>
    <row r="13" spans="1:14" x14ac:dyDescent="0.25">
      <c r="A13" s="7">
        <v>5</v>
      </c>
      <c r="B13" s="45"/>
      <c r="C13" s="8"/>
      <c r="D13" s="8"/>
      <c r="E13" s="14"/>
      <c r="F13" s="10"/>
      <c r="G13" s="17"/>
      <c r="H13" s="11"/>
      <c r="I13" s="8"/>
      <c r="J13" s="11"/>
      <c r="K13" s="12"/>
      <c r="L13" s="13"/>
      <c r="M13" s="20"/>
      <c r="N13" s="19"/>
    </row>
    <row r="14" spans="1:14" x14ac:dyDescent="0.25">
      <c r="A14" s="7">
        <v>6</v>
      </c>
      <c r="B14" s="45"/>
      <c r="C14" s="8"/>
      <c r="D14" s="8"/>
      <c r="E14" s="14"/>
      <c r="F14" s="10"/>
      <c r="G14" s="17"/>
      <c r="H14" s="11"/>
      <c r="I14" s="8"/>
      <c r="J14" s="11"/>
      <c r="K14" s="12"/>
      <c r="L14" s="13"/>
      <c r="M14" s="20"/>
      <c r="N14" s="19"/>
    </row>
    <row r="15" spans="1:14" x14ac:dyDescent="0.25">
      <c r="A15" s="7">
        <v>7</v>
      </c>
      <c r="B15" s="45"/>
      <c r="C15" s="8"/>
      <c r="D15" s="8"/>
      <c r="E15" s="14"/>
      <c r="F15" s="10"/>
      <c r="G15" s="17"/>
      <c r="H15" s="11"/>
      <c r="I15" s="8"/>
      <c r="J15" s="11"/>
      <c r="K15" s="12"/>
      <c r="L15" s="13"/>
      <c r="M15" s="20"/>
      <c r="N15" s="19"/>
    </row>
    <row r="16" spans="1:14" x14ac:dyDescent="0.25">
      <c r="A16" s="7">
        <v>8</v>
      </c>
      <c r="B16" s="45"/>
      <c r="C16" s="8"/>
      <c r="D16" s="8"/>
      <c r="E16" s="14"/>
      <c r="F16" s="10"/>
      <c r="G16" s="17"/>
      <c r="H16" s="11"/>
      <c r="I16" s="8"/>
      <c r="J16" s="11"/>
      <c r="K16" s="12"/>
      <c r="L16" s="13"/>
      <c r="M16" s="20"/>
      <c r="N16" s="19"/>
    </row>
    <row r="17" spans="1:14" x14ac:dyDescent="0.25">
      <c r="A17" s="7">
        <v>9</v>
      </c>
      <c r="B17" s="45"/>
      <c r="C17" s="8"/>
      <c r="D17" s="8"/>
      <c r="E17" s="14"/>
      <c r="F17" s="10"/>
      <c r="G17" s="17"/>
      <c r="H17" s="11"/>
      <c r="I17" s="8"/>
      <c r="J17" s="11"/>
      <c r="K17" s="12"/>
      <c r="L17" s="13"/>
      <c r="M17" s="20"/>
      <c r="N17" s="19"/>
    </row>
    <row r="18" spans="1:14" s="4" customFormat="1" x14ac:dyDescent="0.25">
      <c r="A18" s="7">
        <v>10</v>
      </c>
      <c r="B18" s="45"/>
      <c r="C18" s="8"/>
      <c r="D18" s="8"/>
      <c r="E18" s="9"/>
      <c r="F18" s="10"/>
      <c r="G18" s="17"/>
      <c r="H18" s="11"/>
      <c r="I18" s="8"/>
      <c r="J18" s="11"/>
      <c r="K18" s="12"/>
      <c r="L18" s="13"/>
      <c r="M18" s="20"/>
      <c r="N18" s="19"/>
    </row>
    <row r="19" spans="1:14" s="4" customFormat="1" x14ac:dyDescent="0.25">
      <c r="A19" s="7">
        <v>11</v>
      </c>
      <c r="B19" s="45"/>
      <c r="C19" s="8"/>
      <c r="D19" s="8"/>
      <c r="E19" s="9"/>
      <c r="F19" s="10"/>
      <c r="G19" s="17"/>
      <c r="H19" s="11"/>
      <c r="I19" s="8"/>
      <c r="J19" s="11"/>
      <c r="K19" s="12"/>
      <c r="L19" s="13"/>
      <c r="M19" s="20"/>
      <c r="N19" s="19"/>
    </row>
    <row r="20" spans="1:14" s="4" customFormat="1" x14ac:dyDescent="0.25">
      <c r="A20" s="7">
        <v>12</v>
      </c>
      <c r="B20" s="45"/>
      <c r="C20" s="8"/>
      <c r="D20" s="8"/>
      <c r="E20" s="9"/>
      <c r="F20" s="10"/>
      <c r="G20" s="17"/>
      <c r="H20" s="11"/>
      <c r="I20" s="8"/>
      <c r="J20" s="11"/>
      <c r="K20" s="12"/>
      <c r="L20" s="13"/>
      <c r="M20" s="20"/>
      <c r="N20" s="19"/>
    </row>
    <row r="21" spans="1:14" s="4" customFormat="1" x14ac:dyDescent="0.25">
      <c r="A21" s="7">
        <v>13</v>
      </c>
      <c r="B21" s="45"/>
      <c r="C21" s="8"/>
      <c r="D21" s="8"/>
      <c r="E21" s="9"/>
      <c r="F21" s="10"/>
      <c r="G21" s="17"/>
      <c r="H21" s="11"/>
      <c r="I21" s="8"/>
      <c r="J21" s="11"/>
      <c r="K21" s="12"/>
      <c r="L21" s="13"/>
      <c r="M21" s="20"/>
      <c r="N21" s="19"/>
    </row>
    <row r="22" spans="1:14" s="4" customFormat="1" x14ac:dyDescent="0.25">
      <c r="A22" s="7">
        <v>14</v>
      </c>
      <c r="B22" s="45"/>
      <c r="C22" s="8"/>
      <c r="D22" s="8"/>
      <c r="E22" s="14"/>
      <c r="F22" s="10"/>
      <c r="G22" s="17"/>
      <c r="H22" s="15"/>
      <c r="I22" s="8"/>
      <c r="J22" s="15"/>
      <c r="K22" s="12"/>
      <c r="L22" s="13"/>
      <c r="M22" s="20"/>
      <c r="N22" s="19"/>
    </row>
    <row r="23" spans="1:14" s="4" customFormat="1" x14ac:dyDescent="0.25">
      <c r="A23" s="7">
        <v>15</v>
      </c>
      <c r="B23" s="45"/>
      <c r="C23" s="8"/>
      <c r="D23" s="8"/>
      <c r="E23" s="14"/>
      <c r="F23" s="10"/>
      <c r="G23" s="17"/>
      <c r="H23" s="15"/>
      <c r="I23" s="8"/>
      <c r="J23" s="15"/>
      <c r="K23" s="12"/>
      <c r="L23" s="13"/>
      <c r="M23" s="20"/>
      <c r="N23" s="19"/>
    </row>
    <row r="24" spans="1:14" s="4" customFormat="1" x14ac:dyDescent="0.25">
      <c r="A24" s="7">
        <v>16</v>
      </c>
      <c r="B24" s="45"/>
      <c r="C24" s="8"/>
      <c r="D24" s="8"/>
      <c r="E24" s="14"/>
      <c r="F24" s="10"/>
      <c r="G24" s="17"/>
      <c r="H24" s="15"/>
      <c r="I24" s="8"/>
      <c r="J24" s="15"/>
      <c r="K24" s="12"/>
      <c r="L24" s="13"/>
      <c r="M24" s="20"/>
      <c r="N24" s="19"/>
    </row>
    <row r="25" spans="1:14" s="4" customFormat="1" x14ac:dyDescent="0.25">
      <c r="A25" s="7">
        <v>17</v>
      </c>
      <c r="B25" s="45"/>
      <c r="C25" s="8"/>
      <c r="D25" s="8"/>
      <c r="E25" s="14"/>
      <c r="F25" s="10"/>
      <c r="G25" s="17"/>
      <c r="H25" s="15"/>
      <c r="I25" s="8"/>
      <c r="J25" s="15"/>
      <c r="K25" s="12"/>
      <c r="L25" s="13"/>
      <c r="M25" s="20"/>
      <c r="N25" s="19"/>
    </row>
    <row r="26" spans="1:14" s="4" customFormat="1" x14ac:dyDescent="0.25">
      <c r="A26" s="7">
        <v>18</v>
      </c>
      <c r="B26" s="45"/>
      <c r="C26" s="8"/>
      <c r="D26" s="8"/>
      <c r="E26" s="14"/>
      <c r="F26" s="10"/>
      <c r="G26" s="17"/>
      <c r="H26" s="15"/>
      <c r="I26" s="8"/>
      <c r="J26" s="15"/>
      <c r="K26" s="12"/>
      <c r="L26" s="13"/>
      <c r="M26" s="20"/>
      <c r="N26" s="19"/>
    </row>
    <row r="27" spans="1:14" s="4" customFormat="1" x14ac:dyDescent="0.25">
      <c r="A27" s="7">
        <v>19</v>
      </c>
      <c r="B27" s="45"/>
      <c r="C27" s="8"/>
      <c r="D27" s="8"/>
      <c r="E27" s="14"/>
      <c r="F27" s="10"/>
      <c r="G27" s="17"/>
      <c r="H27" s="15"/>
      <c r="I27" s="8"/>
      <c r="J27" s="15"/>
      <c r="K27" s="12"/>
      <c r="L27" s="13"/>
      <c r="M27" s="20"/>
      <c r="N27" s="19"/>
    </row>
    <row r="28" spans="1:14" s="4" customFormat="1" x14ac:dyDescent="0.25">
      <c r="A28" s="7">
        <v>20</v>
      </c>
      <c r="B28" s="45"/>
      <c r="C28" s="8"/>
      <c r="D28" s="8"/>
      <c r="E28" s="14"/>
      <c r="F28" s="10"/>
      <c r="G28" s="17"/>
      <c r="H28" s="15"/>
      <c r="I28" s="8"/>
      <c r="J28" s="15"/>
      <c r="K28" s="12"/>
      <c r="L28" s="13"/>
      <c r="M28" s="20"/>
      <c r="N28" s="19"/>
    </row>
    <row r="29" spans="1:14" s="4" customFormat="1" x14ac:dyDescent="0.25">
      <c r="A29" s="7">
        <v>21</v>
      </c>
      <c r="B29" s="45"/>
      <c r="C29" s="8"/>
      <c r="D29" s="8"/>
      <c r="E29" s="14"/>
      <c r="F29" s="10"/>
      <c r="G29" s="17"/>
      <c r="H29" s="15"/>
      <c r="I29" s="8"/>
      <c r="J29" s="15"/>
      <c r="K29" s="12"/>
      <c r="L29" s="13"/>
      <c r="M29" s="20"/>
      <c r="N29" s="19"/>
    </row>
    <row r="30" spans="1:14" s="4" customFormat="1" x14ac:dyDescent="0.25">
      <c r="A30" s="7">
        <v>22</v>
      </c>
      <c r="B30" s="45"/>
      <c r="C30" s="8"/>
      <c r="D30" s="8"/>
      <c r="E30" s="14"/>
      <c r="F30" s="10"/>
      <c r="G30" s="17"/>
      <c r="H30" s="15"/>
      <c r="I30" s="8"/>
      <c r="J30" s="15"/>
      <c r="K30" s="12"/>
      <c r="L30" s="13"/>
      <c r="M30" s="20"/>
      <c r="N30" s="19"/>
    </row>
    <row r="31" spans="1:14" s="4" customFormat="1" x14ac:dyDescent="0.25">
      <c r="A31" s="7">
        <v>23</v>
      </c>
      <c r="B31" s="45"/>
      <c r="C31" s="8"/>
      <c r="D31" s="8"/>
      <c r="E31" s="14"/>
      <c r="F31" s="10"/>
      <c r="G31" s="17"/>
      <c r="H31" s="15"/>
      <c r="I31" s="8"/>
      <c r="J31" s="15"/>
      <c r="K31" s="12"/>
      <c r="L31" s="13"/>
      <c r="M31" s="20"/>
      <c r="N31" s="19"/>
    </row>
    <row r="32" spans="1:14" s="4" customFormat="1" x14ac:dyDescent="0.25">
      <c r="A32" s="7">
        <v>24</v>
      </c>
      <c r="B32" s="45"/>
      <c r="C32" s="8"/>
      <c r="D32" s="8"/>
      <c r="E32" s="14"/>
      <c r="F32" s="10"/>
      <c r="G32" s="17"/>
      <c r="H32" s="15"/>
      <c r="I32" s="8"/>
      <c r="J32" s="15"/>
      <c r="K32" s="12"/>
      <c r="L32" s="13"/>
      <c r="M32" s="20"/>
      <c r="N32" s="19"/>
    </row>
    <row r="33" spans="1:14" s="4" customFormat="1" x14ac:dyDescent="0.25">
      <c r="A33" s="7">
        <v>25</v>
      </c>
      <c r="B33" s="45"/>
      <c r="C33" s="8"/>
      <c r="D33" s="8"/>
      <c r="E33" s="14"/>
      <c r="F33" s="10"/>
      <c r="G33" s="17"/>
      <c r="H33" s="15"/>
      <c r="I33" s="8"/>
      <c r="J33" s="15"/>
      <c r="K33" s="12"/>
      <c r="L33" s="13"/>
      <c r="M33" s="20"/>
      <c r="N33" s="19"/>
    </row>
    <row r="34" spans="1:14" s="4" customFormat="1" x14ac:dyDescent="0.25">
      <c r="A34" s="7">
        <v>26</v>
      </c>
      <c r="B34" s="45"/>
      <c r="C34" s="8"/>
      <c r="D34" s="8"/>
      <c r="E34" s="14"/>
      <c r="F34" s="10"/>
      <c r="G34" s="17"/>
      <c r="H34" s="15"/>
      <c r="I34" s="8"/>
      <c r="J34" s="15"/>
      <c r="K34" s="12"/>
      <c r="L34" s="13"/>
      <c r="M34" s="20"/>
      <c r="N34" s="19"/>
    </row>
    <row r="35" spans="1:14" s="4" customFormat="1" x14ac:dyDescent="0.25">
      <c r="A35" s="7">
        <v>27</v>
      </c>
      <c r="B35" s="45"/>
      <c r="C35" s="8"/>
      <c r="D35" s="8"/>
      <c r="E35" s="14"/>
      <c r="F35" s="10"/>
      <c r="G35" s="17"/>
      <c r="H35" s="15"/>
      <c r="I35" s="8"/>
      <c r="J35" s="15"/>
      <c r="K35" s="12"/>
      <c r="L35" s="13"/>
      <c r="M35" s="20"/>
      <c r="N35" s="19"/>
    </row>
    <row r="36" spans="1:14" s="4" customFormat="1" x14ac:dyDescent="0.25">
      <c r="A36" s="7">
        <v>28</v>
      </c>
      <c r="B36" s="45"/>
      <c r="C36" s="8"/>
      <c r="D36" s="8"/>
      <c r="E36" s="14"/>
      <c r="F36" s="10"/>
      <c r="G36" s="17"/>
      <c r="H36" s="15"/>
      <c r="I36" s="8"/>
      <c r="J36" s="15"/>
      <c r="K36" s="12"/>
      <c r="L36" s="13"/>
      <c r="M36" s="20"/>
      <c r="N36" s="19"/>
    </row>
    <row r="37" spans="1:14" s="4" customFormat="1" x14ac:dyDescent="0.25">
      <c r="A37" s="7">
        <v>29</v>
      </c>
      <c r="B37" s="45"/>
      <c r="C37" s="8"/>
      <c r="D37" s="8"/>
      <c r="E37" s="14"/>
      <c r="F37" s="10"/>
      <c r="G37" s="17"/>
      <c r="H37" s="15"/>
      <c r="I37" s="8"/>
      <c r="J37" s="15"/>
      <c r="K37" s="12"/>
      <c r="L37" s="13"/>
      <c r="M37" s="20"/>
      <c r="N37" s="19"/>
    </row>
    <row r="38" spans="1:14" s="4" customFormat="1" x14ac:dyDescent="0.25">
      <c r="A38" s="7">
        <v>30</v>
      </c>
      <c r="B38" s="45"/>
      <c r="C38" s="8"/>
      <c r="D38" s="8"/>
      <c r="E38" s="14"/>
      <c r="F38" s="10"/>
      <c r="G38" s="17"/>
      <c r="H38" s="15"/>
      <c r="I38" s="8"/>
      <c r="J38" s="15"/>
      <c r="K38" s="12"/>
      <c r="L38" s="13"/>
      <c r="M38" s="20"/>
      <c r="N38" s="19"/>
    </row>
    <row r="39" spans="1:14" s="4" customFormat="1" x14ac:dyDescent="0.25">
      <c r="A39" s="7">
        <v>31</v>
      </c>
      <c r="B39" s="45"/>
      <c r="C39" s="8"/>
      <c r="D39" s="8"/>
      <c r="E39" s="14"/>
      <c r="F39" s="10"/>
      <c r="G39" s="17"/>
      <c r="H39" s="15"/>
      <c r="I39" s="8"/>
      <c r="J39" s="15"/>
      <c r="K39" s="12"/>
      <c r="L39" s="13"/>
      <c r="M39" s="20"/>
      <c r="N39" s="19"/>
    </row>
    <row r="40" spans="1:14" s="4" customFormat="1" x14ac:dyDescent="0.25">
      <c r="A40" s="7">
        <v>32</v>
      </c>
      <c r="B40" s="45"/>
      <c r="C40" s="8"/>
      <c r="D40" s="8"/>
      <c r="E40" s="14"/>
      <c r="F40" s="10"/>
      <c r="G40" s="17"/>
      <c r="H40" s="15"/>
      <c r="I40" s="8"/>
      <c r="J40" s="15"/>
      <c r="K40" s="12"/>
      <c r="L40" s="13"/>
      <c r="M40" s="20"/>
      <c r="N40" s="19"/>
    </row>
    <row r="41" spans="1:14" s="4" customFormat="1" x14ac:dyDescent="0.25">
      <c r="A41" s="7">
        <v>33</v>
      </c>
      <c r="B41" s="45"/>
      <c r="C41" s="8"/>
      <c r="D41" s="8"/>
      <c r="E41" s="14"/>
      <c r="F41" s="10"/>
      <c r="G41" s="17"/>
      <c r="H41" s="15"/>
      <c r="I41" s="8"/>
      <c r="J41" s="15"/>
      <c r="K41" s="12"/>
      <c r="L41" s="13"/>
      <c r="M41" s="20"/>
      <c r="N41" s="19"/>
    </row>
    <row r="42" spans="1:14" s="4" customFormat="1" x14ac:dyDescent="0.25">
      <c r="A42" s="7">
        <v>34</v>
      </c>
      <c r="B42" s="45"/>
      <c r="C42" s="8"/>
      <c r="D42" s="8"/>
      <c r="E42" s="14"/>
      <c r="F42" s="10"/>
      <c r="G42" s="17"/>
      <c r="H42" s="15"/>
      <c r="I42" s="8"/>
      <c r="J42" s="15"/>
      <c r="K42" s="12"/>
      <c r="L42" s="13"/>
      <c r="M42" s="20"/>
      <c r="N42" s="19"/>
    </row>
    <row r="43" spans="1:14" s="4" customFormat="1" x14ac:dyDescent="0.25">
      <c r="A43" s="7">
        <v>35</v>
      </c>
      <c r="B43" s="45"/>
      <c r="C43" s="8"/>
      <c r="D43" s="8"/>
      <c r="E43" s="14"/>
      <c r="F43" s="10"/>
      <c r="G43" s="17"/>
      <c r="H43" s="15"/>
      <c r="I43" s="8"/>
      <c r="J43" s="15"/>
      <c r="K43" s="12"/>
      <c r="L43" s="13"/>
      <c r="M43" s="20"/>
      <c r="N43" s="19"/>
    </row>
    <row r="44" spans="1:14" s="4" customFormat="1" x14ac:dyDescent="0.25">
      <c r="A44" s="7">
        <v>36</v>
      </c>
      <c r="B44" s="45"/>
      <c r="C44" s="8"/>
      <c r="D44" s="8"/>
      <c r="E44" s="14"/>
      <c r="F44" s="10"/>
      <c r="G44" s="17"/>
      <c r="H44" s="15"/>
      <c r="I44" s="8"/>
      <c r="J44" s="15"/>
      <c r="K44" s="12"/>
      <c r="L44" s="13"/>
      <c r="M44" s="20"/>
      <c r="N44" s="19"/>
    </row>
    <row r="45" spans="1:14" s="4" customFormat="1" x14ac:dyDescent="0.25">
      <c r="A45" s="7">
        <v>37</v>
      </c>
      <c r="B45" s="45"/>
      <c r="C45" s="8"/>
      <c r="D45" s="8"/>
      <c r="E45" s="14"/>
      <c r="F45" s="10"/>
      <c r="G45" s="17"/>
      <c r="H45" s="15"/>
      <c r="I45" s="8"/>
      <c r="J45" s="15"/>
      <c r="K45" s="12"/>
      <c r="L45" s="13"/>
      <c r="M45" s="20"/>
      <c r="N45" s="19"/>
    </row>
    <row r="46" spans="1:14" s="4" customFormat="1" x14ac:dyDescent="0.25">
      <c r="A46" s="7">
        <v>38</v>
      </c>
      <c r="B46" s="45"/>
      <c r="C46" s="8"/>
      <c r="D46" s="8"/>
      <c r="E46" s="14"/>
      <c r="F46" s="10"/>
      <c r="G46" s="17"/>
      <c r="H46" s="15"/>
      <c r="I46" s="8"/>
      <c r="J46" s="15"/>
      <c r="K46" s="12"/>
      <c r="L46" s="13"/>
      <c r="M46" s="20"/>
      <c r="N46" s="19"/>
    </row>
    <row r="47" spans="1:14" s="4" customFormat="1" x14ac:dyDescent="0.25">
      <c r="A47" s="7">
        <v>39</v>
      </c>
      <c r="B47" s="45"/>
      <c r="C47" s="8"/>
      <c r="D47" s="8"/>
      <c r="E47" s="14"/>
      <c r="F47" s="10"/>
      <c r="G47" s="17"/>
      <c r="H47" s="15"/>
      <c r="I47" s="8"/>
      <c r="J47" s="15"/>
      <c r="K47" s="12"/>
      <c r="L47" s="13"/>
      <c r="M47" s="20"/>
      <c r="N47" s="19"/>
    </row>
    <row r="48" spans="1:14" s="4" customFormat="1" x14ac:dyDescent="0.25">
      <c r="A48" s="7">
        <v>40</v>
      </c>
      <c r="B48" s="45"/>
      <c r="C48" s="8"/>
      <c r="D48" s="8"/>
      <c r="E48" s="14"/>
      <c r="F48" s="10"/>
      <c r="G48" s="17"/>
      <c r="H48" s="15"/>
      <c r="I48" s="8"/>
      <c r="J48" s="15"/>
      <c r="K48" s="12"/>
      <c r="L48" s="13"/>
      <c r="M48" s="20"/>
      <c r="N48" s="19"/>
    </row>
    <row r="49" spans="1:14" s="4" customFormat="1" x14ac:dyDescent="0.25">
      <c r="A49" s="7">
        <v>41</v>
      </c>
      <c r="B49" s="45"/>
      <c r="C49" s="8"/>
      <c r="D49" s="8"/>
      <c r="E49" s="14"/>
      <c r="F49" s="10"/>
      <c r="G49" s="17"/>
      <c r="H49" s="15"/>
      <c r="I49" s="8"/>
      <c r="J49" s="15"/>
      <c r="K49" s="12"/>
      <c r="L49" s="13"/>
      <c r="M49" s="20"/>
      <c r="N49" s="19"/>
    </row>
    <row r="50" spans="1:14" s="4" customFormat="1" x14ac:dyDescent="0.25">
      <c r="A50" s="7">
        <v>42</v>
      </c>
      <c r="B50" s="45"/>
      <c r="C50" s="8"/>
      <c r="D50" s="8"/>
      <c r="E50" s="14"/>
      <c r="F50" s="10"/>
      <c r="G50" s="17"/>
      <c r="H50" s="15"/>
      <c r="I50" s="8"/>
      <c r="J50" s="15"/>
      <c r="K50" s="12"/>
      <c r="L50" s="13"/>
      <c r="M50" s="20"/>
      <c r="N50" s="19"/>
    </row>
    <row r="51" spans="1:14" s="4" customFormat="1" x14ac:dyDescent="0.25">
      <c r="A51" s="7">
        <v>43</v>
      </c>
      <c r="B51" s="45"/>
      <c r="C51" s="8"/>
      <c r="D51" s="8"/>
      <c r="E51" s="14"/>
      <c r="F51" s="10"/>
      <c r="G51" s="17"/>
      <c r="H51" s="15"/>
      <c r="I51" s="8"/>
      <c r="J51" s="15"/>
      <c r="K51" s="12"/>
      <c r="L51" s="13"/>
      <c r="M51" s="20"/>
      <c r="N51" s="19"/>
    </row>
    <row r="52" spans="1:14" s="4" customFormat="1" x14ac:dyDescent="0.25">
      <c r="A52" s="7">
        <v>44</v>
      </c>
      <c r="B52" s="45"/>
      <c r="C52" s="8"/>
      <c r="D52" s="8"/>
      <c r="E52" s="14"/>
      <c r="F52" s="10"/>
      <c r="G52" s="17"/>
      <c r="H52" s="15"/>
      <c r="I52" s="8"/>
      <c r="J52" s="15"/>
      <c r="K52" s="12"/>
      <c r="L52" s="13"/>
      <c r="M52" s="20"/>
      <c r="N52" s="19"/>
    </row>
    <row r="53" spans="1:14" s="4" customFormat="1" x14ac:dyDescent="0.25">
      <c r="A53" s="7">
        <v>45</v>
      </c>
      <c r="B53" s="45"/>
      <c r="C53" s="8"/>
      <c r="D53" s="8"/>
      <c r="E53" s="14"/>
      <c r="F53" s="10"/>
      <c r="G53" s="17"/>
      <c r="H53" s="15"/>
      <c r="I53" s="8"/>
      <c r="J53" s="15"/>
      <c r="K53" s="12"/>
      <c r="L53" s="13"/>
      <c r="M53" s="20"/>
      <c r="N53" s="19"/>
    </row>
    <row r="54" spans="1:14" s="4" customFormat="1" x14ac:dyDescent="0.25">
      <c r="A54" s="7">
        <v>46</v>
      </c>
      <c r="B54" s="45"/>
      <c r="C54" s="8"/>
      <c r="D54" s="8"/>
      <c r="E54" s="14"/>
      <c r="F54" s="10"/>
      <c r="G54" s="17"/>
      <c r="H54" s="15"/>
      <c r="I54" s="8"/>
      <c r="J54" s="15"/>
      <c r="K54" s="12"/>
      <c r="L54" s="13"/>
      <c r="M54" s="20"/>
      <c r="N54" s="19"/>
    </row>
    <row r="55" spans="1:14" s="4" customFormat="1" x14ac:dyDescent="0.25">
      <c r="A55" s="7">
        <v>47</v>
      </c>
      <c r="B55" s="45"/>
      <c r="C55" s="8"/>
      <c r="D55" s="8"/>
      <c r="E55" s="14"/>
      <c r="F55" s="10"/>
      <c r="G55" s="17"/>
      <c r="H55" s="15"/>
      <c r="I55" s="8"/>
      <c r="J55" s="15"/>
      <c r="K55" s="12"/>
      <c r="L55" s="13"/>
      <c r="M55" s="20"/>
      <c r="N55" s="19"/>
    </row>
    <row r="56" spans="1:14" s="4" customFormat="1" x14ac:dyDescent="0.25">
      <c r="A56" s="7">
        <v>48</v>
      </c>
      <c r="B56" s="45"/>
      <c r="C56" s="8"/>
      <c r="D56" s="8"/>
      <c r="E56" s="14"/>
      <c r="F56" s="10"/>
      <c r="G56" s="18"/>
      <c r="H56" s="15"/>
      <c r="I56" s="11"/>
      <c r="J56" s="15"/>
      <c r="K56" s="12"/>
      <c r="L56" s="13"/>
      <c r="M56" s="20"/>
      <c r="N56" s="19"/>
    </row>
    <row r="57" spans="1:14" s="4" customFormat="1" x14ac:dyDescent="0.25">
      <c r="A57" s="7">
        <v>49</v>
      </c>
      <c r="B57" s="45"/>
      <c r="C57" s="8"/>
      <c r="D57" s="8"/>
      <c r="E57" s="14"/>
      <c r="F57" s="10"/>
      <c r="G57" s="18"/>
      <c r="H57" s="15"/>
      <c r="I57" s="11"/>
      <c r="J57" s="15"/>
      <c r="K57" s="12"/>
      <c r="L57" s="13"/>
      <c r="M57" s="20"/>
      <c r="N57" s="19"/>
    </row>
    <row r="58" spans="1:14" s="4" customFormat="1" x14ac:dyDescent="0.25">
      <c r="A58" s="7">
        <v>50</v>
      </c>
      <c r="B58" s="45"/>
      <c r="C58" s="8"/>
      <c r="D58" s="8"/>
      <c r="E58" s="14"/>
      <c r="F58" s="10"/>
      <c r="G58" s="18"/>
      <c r="H58" s="15"/>
      <c r="I58" s="11"/>
      <c r="J58" s="15"/>
      <c r="K58" s="12"/>
      <c r="L58" s="13"/>
      <c r="M58" s="20"/>
      <c r="N58" s="19"/>
    </row>
    <row r="59" spans="1:14" s="4" customFormat="1" x14ac:dyDescent="0.25">
      <c r="A59" s="7">
        <v>51</v>
      </c>
      <c r="B59" s="45"/>
      <c r="C59" s="8"/>
      <c r="D59" s="8"/>
      <c r="E59" s="14"/>
      <c r="F59" s="10"/>
      <c r="G59" s="18"/>
      <c r="H59" s="15"/>
      <c r="I59" s="11"/>
      <c r="J59" s="15"/>
      <c r="K59" s="12"/>
      <c r="L59" s="13"/>
      <c r="M59" s="20"/>
      <c r="N59" s="19"/>
    </row>
    <row r="60" spans="1:14" s="4" customFormat="1" x14ac:dyDescent="0.25">
      <c r="A60" s="7">
        <v>52</v>
      </c>
      <c r="B60" s="45"/>
      <c r="C60" s="8"/>
      <c r="D60" s="8"/>
      <c r="E60" s="14"/>
      <c r="F60" s="10"/>
      <c r="G60" s="18"/>
      <c r="H60" s="15"/>
      <c r="I60" s="11"/>
      <c r="J60" s="15"/>
      <c r="K60" s="12"/>
      <c r="L60" s="13"/>
      <c r="M60" s="20"/>
      <c r="N60" s="19"/>
    </row>
    <row r="61" spans="1:14" s="4" customFormat="1" x14ac:dyDescent="0.25">
      <c r="A61" s="7">
        <v>53</v>
      </c>
      <c r="B61" s="45"/>
      <c r="C61" s="8"/>
      <c r="D61" s="8"/>
      <c r="E61" s="14"/>
      <c r="F61" s="10"/>
      <c r="G61" s="18"/>
      <c r="H61" s="15"/>
      <c r="I61" s="11"/>
      <c r="J61" s="15"/>
      <c r="K61" s="12"/>
      <c r="L61" s="13"/>
      <c r="M61" s="20"/>
      <c r="N61" s="19"/>
    </row>
    <row r="62" spans="1:14" s="4" customFormat="1" x14ac:dyDescent="0.25">
      <c r="A62" s="7">
        <v>54</v>
      </c>
      <c r="B62" s="45"/>
      <c r="C62" s="8"/>
      <c r="D62" s="8"/>
      <c r="E62" s="14"/>
      <c r="F62" s="10"/>
      <c r="G62" s="18"/>
      <c r="H62" s="15"/>
      <c r="I62" s="11"/>
      <c r="J62" s="15"/>
      <c r="K62" s="12"/>
      <c r="L62" s="13"/>
      <c r="M62" s="20"/>
      <c r="N62" s="19"/>
    </row>
    <row r="63" spans="1:14" s="4" customFormat="1" x14ac:dyDescent="0.25">
      <c r="A63" s="7">
        <v>55</v>
      </c>
      <c r="B63" s="45"/>
      <c r="C63" s="8"/>
      <c r="D63" s="8"/>
      <c r="E63" s="14"/>
      <c r="F63" s="10"/>
      <c r="G63" s="18"/>
      <c r="H63" s="15"/>
      <c r="I63" s="11"/>
      <c r="J63" s="15"/>
      <c r="K63" s="12"/>
      <c r="L63" s="13"/>
      <c r="M63" s="20"/>
      <c r="N63" s="19"/>
    </row>
    <row r="64" spans="1:14" s="4" customFormat="1" x14ac:dyDescent="0.25">
      <c r="A64" s="7">
        <v>56</v>
      </c>
      <c r="B64" s="45"/>
      <c r="C64" s="8"/>
      <c r="D64" s="8"/>
      <c r="E64" s="14"/>
      <c r="F64" s="10"/>
      <c r="G64" s="18"/>
      <c r="H64" s="15"/>
      <c r="I64" s="11"/>
      <c r="J64" s="15"/>
      <c r="K64" s="12"/>
      <c r="L64" s="13"/>
      <c r="M64" s="20"/>
      <c r="N64" s="19"/>
    </row>
    <row r="65" spans="1:14" s="4" customFormat="1" x14ac:dyDescent="0.25">
      <c r="A65" s="7">
        <v>57</v>
      </c>
      <c r="B65" s="45"/>
      <c r="C65" s="8"/>
      <c r="D65" s="8"/>
      <c r="E65" s="14"/>
      <c r="F65" s="10"/>
      <c r="G65" s="18"/>
      <c r="H65" s="15"/>
      <c r="I65" s="11"/>
      <c r="J65" s="15"/>
      <c r="K65" s="12"/>
      <c r="L65" s="13"/>
      <c r="M65" s="20"/>
      <c r="N65" s="19"/>
    </row>
    <row r="66" spans="1:14" s="4" customFormat="1" x14ac:dyDescent="0.25">
      <c r="A66" s="7">
        <v>58</v>
      </c>
      <c r="B66" s="45"/>
      <c r="C66" s="8"/>
      <c r="D66" s="8"/>
      <c r="E66" s="14"/>
      <c r="F66" s="10"/>
      <c r="G66" s="18"/>
      <c r="H66" s="15"/>
      <c r="I66" s="11"/>
      <c r="J66" s="15"/>
      <c r="K66" s="12"/>
      <c r="L66" s="13"/>
      <c r="M66" s="20"/>
      <c r="N66" s="19"/>
    </row>
    <row r="67" spans="1:14" s="4" customFormat="1" x14ac:dyDescent="0.25">
      <c r="A67" s="7">
        <v>59</v>
      </c>
      <c r="B67" s="45"/>
      <c r="C67" s="8"/>
      <c r="D67" s="8"/>
      <c r="E67" s="14"/>
      <c r="F67" s="10"/>
      <c r="G67" s="18"/>
      <c r="H67" s="15"/>
      <c r="I67" s="11"/>
      <c r="J67" s="15"/>
      <c r="K67" s="12"/>
      <c r="L67" s="13"/>
      <c r="M67" s="20"/>
      <c r="N67" s="19"/>
    </row>
    <row r="68" spans="1:14" s="4" customFormat="1" x14ac:dyDescent="0.25">
      <c r="A68" s="7">
        <v>60</v>
      </c>
      <c r="B68" s="45"/>
      <c r="C68" s="8"/>
      <c r="D68" s="8"/>
      <c r="E68" s="14"/>
      <c r="F68" s="10"/>
      <c r="G68" s="18"/>
      <c r="H68" s="15"/>
      <c r="I68" s="11"/>
      <c r="J68" s="15"/>
      <c r="K68" s="12"/>
      <c r="L68" s="13"/>
      <c r="M68" s="20"/>
      <c r="N68" s="19"/>
    </row>
    <row r="69" spans="1:14" s="4" customFormat="1" x14ac:dyDescent="0.25">
      <c r="A69" s="7">
        <v>61</v>
      </c>
      <c r="B69" s="45"/>
      <c r="C69" s="8"/>
      <c r="D69" s="8"/>
      <c r="E69" s="14"/>
      <c r="F69" s="10"/>
      <c r="G69" s="18"/>
      <c r="H69" s="15"/>
      <c r="I69" s="11"/>
      <c r="J69" s="15"/>
      <c r="K69" s="12"/>
      <c r="L69" s="13"/>
      <c r="M69" s="20"/>
      <c r="N69" s="19"/>
    </row>
    <row r="70" spans="1:14" s="4" customFormat="1" x14ac:dyDescent="0.25">
      <c r="A70" s="7">
        <v>62</v>
      </c>
      <c r="B70" s="45"/>
      <c r="C70" s="8"/>
      <c r="D70" s="8"/>
      <c r="E70" s="14"/>
      <c r="F70" s="10"/>
      <c r="G70" s="18"/>
      <c r="H70" s="15"/>
      <c r="I70" s="11"/>
      <c r="J70" s="15"/>
      <c r="K70" s="12"/>
      <c r="L70" s="13"/>
      <c r="M70" s="20"/>
      <c r="N70" s="19"/>
    </row>
    <row r="71" spans="1:14" s="4" customFormat="1" x14ac:dyDescent="0.25">
      <c r="A71" s="7">
        <v>63</v>
      </c>
      <c r="B71" s="45"/>
      <c r="C71" s="8"/>
      <c r="D71" s="8"/>
      <c r="E71" s="14"/>
      <c r="F71" s="10"/>
      <c r="G71" s="18"/>
      <c r="H71" s="15"/>
      <c r="I71" s="11"/>
      <c r="J71" s="15"/>
      <c r="K71" s="12"/>
      <c r="L71" s="13"/>
      <c r="M71" s="20"/>
      <c r="N71" s="19"/>
    </row>
    <row r="72" spans="1:14" s="4" customFormat="1" x14ac:dyDescent="0.25">
      <c r="A72" s="7">
        <v>64</v>
      </c>
      <c r="B72" s="45"/>
      <c r="C72" s="8"/>
      <c r="D72" s="8"/>
      <c r="E72" s="14"/>
      <c r="F72" s="10"/>
      <c r="G72" s="18"/>
      <c r="H72" s="15"/>
      <c r="I72" s="11"/>
      <c r="J72" s="15"/>
      <c r="K72" s="12"/>
      <c r="L72" s="13"/>
      <c r="M72" s="20"/>
      <c r="N72" s="19"/>
    </row>
    <row r="73" spans="1:14" s="4" customFormat="1" x14ac:dyDescent="0.25">
      <c r="A73" s="7">
        <v>65</v>
      </c>
      <c r="B73" s="45"/>
      <c r="C73" s="8"/>
      <c r="D73" s="8"/>
      <c r="E73" s="14"/>
      <c r="F73" s="10"/>
      <c r="G73" s="18"/>
      <c r="H73" s="15"/>
      <c r="I73" s="11"/>
      <c r="J73" s="15"/>
      <c r="K73" s="12"/>
      <c r="L73" s="13"/>
      <c r="M73" s="20"/>
      <c r="N73" s="19"/>
    </row>
    <row r="74" spans="1:14" s="4" customFormat="1" x14ac:dyDescent="0.25">
      <c r="A74" s="7">
        <v>66</v>
      </c>
      <c r="B74" s="45"/>
      <c r="C74" s="8"/>
      <c r="D74" s="8"/>
      <c r="E74" s="14"/>
      <c r="F74" s="10"/>
      <c r="G74" s="18"/>
      <c r="H74" s="15"/>
      <c r="I74" s="11"/>
      <c r="J74" s="15"/>
      <c r="K74" s="12"/>
      <c r="L74" s="13"/>
      <c r="M74" s="20"/>
      <c r="N74" s="19"/>
    </row>
    <row r="75" spans="1:14" s="4" customFormat="1" x14ac:dyDescent="0.25">
      <c r="A75" s="7">
        <v>67</v>
      </c>
      <c r="B75" s="45"/>
      <c r="C75" s="8"/>
      <c r="D75" s="8"/>
      <c r="E75" s="14"/>
      <c r="F75" s="10"/>
      <c r="G75" s="18"/>
      <c r="H75" s="15"/>
      <c r="I75" s="11"/>
      <c r="J75" s="15"/>
      <c r="K75" s="12"/>
      <c r="L75" s="13"/>
      <c r="M75" s="20"/>
      <c r="N75" s="19"/>
    </row>
    <row r="76" spans="1:14" s="4" customFormat="1" x14ac:dyDescent="0.25">
      <c r="A76" s="7">
        <v>68</v>
      </c>
      <c r="B76" s="45"/>
      <c r="C76" s="8"/>
      <c r="D76" s="8"/>
      <c r="E76" s="14"/>
      <c r="F76" s="10"/>
      <c r="G76" s="18"/>
      <c r="H76" s="15"/>
      <c r="I76" s="11"/>
      <c r="J76" s="15"/>
      <c r="K76" s="12"/>
      <c r="L76" s="13"/>
      <c r="M76" s="20"/>
      <c r="N76" s="19"/>
    </row>
    <row r="77" spans="1:14" s="4" customFormat="1" x14ac:dyDescent="0.25">
      <c r="A77" s="7">
        <v>69</v>
      </c>
      <c r="B77" s="45"/>
      <c r="C77" s="8"/>
      <c r="D77" s="8"/>
      <c r="E77" s="14"/>
      <c r="F77" s="10"/>
      <c r="G77" s="18"/>
      <c r="H77" s="15"/>
      <c r="I77" s="11"/>
      <c r="J77" s="15"/>
      <c r="K77" s="12"/>
      <c r="L77" s="13"/>
      <c r="M77" s="20"/>
      <c r="N77" s="19"/>
    </row>
    <row r="78" spans="1:14" s="4" customFormat="1" x14ac:dyDescent="0.25">
      <c r="A78" s="7">
        <v>70</v>
      </c>
      <c r="B78" s="45"/>
      <c r="C78" s="8"/>
      <c r="D78" s="8"/>
      <c r="E78" s="14"/>
      <c r="F78" s="10"/>
      <c r="G78" s="18"/>
      <c r="H78" s="15"/>
      <c r="I78" s="11"/>
      <c r="J78" s="15"/>
      <c r="K78" s="12"/>
      <c r="L78" s="13"/>
      <c r="M78" s="20"/>
      <c r="N78" s="19"/>
    </row>
    <row r="79" spans="1:14" s="4" customFormat="1" x14ac:dyDescent="0.25">
      <c r="A79" s="7">
        <v>71</v>
      </c>
      <c r="B79" s="45"/>
      <c r="C79" s="8"/>
      <c r="D79" s="8"/>
      <c r="E79" s="14"/>
      <c r="F79" s="10"/>
      <c r="G79" s="18"/>
      <c r="H79" s="15"/>
      <c r="I79" s="11"/>
      <c r="J79" s="15"/>
      <c r="K79" s="12"/>
      <c r="L79" s="13"/>
      <c r="M79" s="20"/>
      <c r="N79" s="19"/>
    </row>
    <row r="80" spans="1:14" s="4" customFormat="1" x14ac:dyDescent="0.25">
      <c r="A80" s="7">
        <v>72</v>
      </c>
      <c r="B80" s="45"/>
      <c r="C80" s="8"/>
      <c r="D80" s="8"/>
      <c r="E80" s="14"/>
      <c r="F80" s="10"/>
      <c r="G80" s="18"/>
      <c r="H80" s="15"/>
      <c r="I80" s="11"/>
      <c r="J80" s="15"/>
      <c r="K80" s="12"/>
      <c r="L80" s="13"/>
      <c r="M80" s="20"/>
      <c r="N80" s="19"/>
    </row>
    <row r="81" spans="1:14" s="4" customFormat="1" x14ac:dyDescent="0.25">
      <c r="A81" s="7">
        <v>73</v>
      </c>
      <c r="B81" s="45"/>
      <c r="C81" s="8"/>
      <c r="D81" s="8"/>
      <c r="E81" s="14"/>
      <c r="F81" s="10"/>
      <c r="G81" s="18"/>
      <c r="H81" s="15"/>
      <c r="I81" s="11"/>
      <c r="J81" s="15"/>
      <c r="K81" s="12"/>
      <c r="L81" s="13"/>
      <c r="M81" s="20"/>
      <c r="N81" s="19"/>
    </row>
    <row r="82" spans="1:14" s="4" customFormat="1" x14ac:dyDescent="0.25">
      <c r="A82" s="7">
        <v>74</v>
      </c>
      <c r="B82" s="45"/>
      <c r="C82" s="8"/>
      <c r="D82" s="8"/>
      <c r="E82" s="14"/>
      <c r="F82" s="10"/>
      <c r="G82" s="18"/>
      <c r="H82" s="15"/>
      <c r="I82" s="11"/>
      <c r="J82" s="15"/>
      <c r="K82" s="12"/>
      <c r="L82" s="13"/>
      <c r="M82" s="20"/>
      <c r="N82" s="19"/>
    </row>
    <row r="83" spans="1:14" s="4" customFormat="1" x14ac:dyDescent="0.25">
      <c r="A83" s="7">
        <v>75</v>
      </c>
      <c r="B83" s="45"/>
      <c r="C83" s="8"/>
      <c r="D83" s="8"/>
      <c r="E83" s="14"/>
      <c r="F83" s="10"/>
      <c r="G83" s="18"/>
      <c r="H83" s="15"/>
      <c r="I83" s="11"/>
      <c r="J83" s="15"/>
      <c r="K83" s="12"/>
      <c r="L83" s="13"/>
      <c r="M83" s="20"/>
      <c r="N83" s="19"/>
    </row>
    <row r="84" spans="1:14" s="4" customFormat="1" x14ac:dyDescent="0.25">
      <c r="A84" s="7">
        <v>76</v>
      </c>
      <c r="B84" s="45"/>
      <c r="C84" s="8"/>
      <c r="D84" s="8"/>
      <c r="E84" s="14"/>
      <c r="F84" s="10"/>
      <c r="G84" s="18"/>
      <c r="H84" s="15"/>
      <c r="I84" s="11"/>
      <c r="J84" s="15"/>
      <c r="K84" s="12"/>
      <c r="L84" s="13"/>
      <c r="M84" s="20"/>
      <c r="N84" s="19"/>
    </row>
    <row r="85" spans="1:14" s="4" customFormat="1" x14ac:dyDescent="0.25">
      <c r="A85" s="7">
        <v>77</v>
      </c>
      <c r="B85" s="45"/>
      <c r="C85" s="8"/>
      <c r="D85" s="8"/>
      <c r="E85" s="14"/>
      <c r="F85" s="10"/>
      <c r="G85" s="18"/>
      <c r="H85" s="15"/>
      <c r="I85" s="11"/>
      <c r="J85" s="15"/>
      <c r="K85" s="12"/>
      <c r="L85" s="13"/>
      <c r="M85" s="20"/>
      <c r="N85" s="19"/>
    </row>
    <row r="86" spans="1:14" s="4" customFormat="1" x14ac:dyDescent="0.25">
      <c r="A86" s="7">
        <v>78</v>
      </c>
      <c r="B86" s="45"/>
      <c r="C86" s="8"/>
      <c r="D86" s="8"/>
      <c r="E86" s="14"/>
      <c r="F86" s="10"/>
      <c r="G86" s="18"/>
      <c r="H86" s="15"/>
      <c r="I86" s="11"/>
      <c r="J86" s="15"/>
      <c r="K86" s="12"/>
      <c r="L86" s="13"/>
      <c r="M86" s="20"/>
      <c r="N86" s="19"/>
    </row>
    <row r="87" spans="1:14" s="4" customFormat="1" x14ac:dyDescent="0.25">
      <c r="A87" s="7">
        <v>79</v>
      </c>
      <c r="B87" s="45"/>
      <c r="C87" s="8"/>
      <c r="D87" s="8"/>
      <c r="E87" s="14"/>
      <c r="F87" s="10"/>
      <c r="G87" s="18"/>
      <c r="H87" s="15"/>
      <c r="I87" s="11"/>
      <c r="J87" s="15"/>
      <c r="K87" s="12"/>
      <c r="L87" s="13"/>
      <c r="M87" s="20"/>
      <c r="N87" s="19"/>
    </row>
    <row r="88" spans="1:14" s="4" customFormat="1" x14ac:dyDescent="0.25">
      <c r="A88" s="7">
        <v>80</v>
      </c>
      <c r="B88" s="45"/>
      <c r="C88" s="8"/>
      <c r="D88" s="8"/>
      <c r="E88" s="14"/>
      <c r="F88" s="10"/>
      <c r="G88" s="18"/>
      <c r="H88" s="15"/>
      <c r="I88" s="11"/>
      <c r="J88" s="15"/>
      <c r="K88" s="12"/>
      <c r="L88" s="13"/>
      <c r="M88" s="20"/>
      <c r="N88" s="19"/>
    </row>
    <row r="89" spans="1:14" s="4" customFormat="1" x14ac:dyDescent="0.25">
      <c r="A89" s="7">
        <v>81</v>
      </c>
      <c r="B89" s="45"/>
      <c r="C89" s="8"/>
      <c r="D89" s="8"/>
      <c r="E89" s="14"/>
      <c r="F89" s="10"/>
      <c r="G89" s="18"/>
      <c r="H89" s="15"/>
      <c r="I89" s="11"/>
      <c r="J89" s="15"/>
      <c r="K89" s="12"/>
      <c r="L89" s="13"/>
      <c r="M89" s="20"/>
      <c r="N89" s="19"/>
    </row>
    <row r="90" spans="1:14" s="4" customFormat="1" x14ac:dyDescent="0.25">
      <c r="A90" s="7">
        <v>82</v>
      </c>
      <c r="B90" s="45"/>
      <c r="C90" s="8"/>
      <c r="D90" s="8"/>
      <c r="E90" s="14"/>
      <c r="F90" s="10"/>
      <c r="G90" s="18"/>
      <c r="H90" s="15"/>
      <c r="I90" s="11"/>
      <c r="J90" s="15"/>
      <c r="K90" s="12"/>
      <c r="L90" s="13"/>
      <c r="M90" s="20"/>
      <c r="N90" s="19"/>
    </row>
    <row r="91" spans="1:14" s="4" customFormat="1" x14ac:dyDescent="0.25">
      <c r="A91" s="7">
        <v>83</v>
      </c>
      <c r="B91" s="45"/>
      <c r="C91" s="8"/>
      <c r="D91" s="8"/>
      <c r="E91" s="14"/>
      <c r="F91" s="10"/>
      <c r="G91" s="18"/>
      <c r="H91" s="15"/>
      <c r="I91" s="11"/>
      <c r="J91" s="15"/>
      <c r="K91" s="12"/>
      <c r="L91" s="13"/>
      <c r="M91" s="20"/>
      <c r="N91" s="19"/>
    </row>
    <row r="92" spans="1:14" s="4" customFormat="1" x14ac:dyDescent="0.25">
      <c r="A92" s="7">
        <v>84</v>
      </c>
      <c r="B92" s="45"/>
      <c r="C92" s="8"/>
      <c r="D92" s="8"/>
      <c r="E92" s="14"/>
      <c r="F92" s="10"/>
      <c r="G92" s="18"/>
      <c r="H92" s="15"/>
      <c r="I92" s="11"/>
      <c r="J92" s="15"/>
      <c r="K92" s="12"/>
      <c r="L92" s="13"/>
      <c r="M92" s="20"/>
      <c r="N92" s="19"/>
    </row>
    <row r="93" spans="1:14" s="4" customFormat="1" x14ac:dyDescent="0.25">
      <c r="A93" s="7">
        <v>85</v>
      </c>
      <c r="B93" s="45"/>
      <c r="C93" s="8"/>
      <c r="D93" s="8"/>
      <c r="E93" s="14"/>
      <c r="F93" s="10"/>
      <c r="G93" s="18"/>
      <c r="H93" s="15"/>
      <c r="I93" s="11"/>
      <c r="J93" s="15"/>
      <c r="K93" s="12"/>
      <c r="L93" s="13"/>
      <c r="M93" s="20"/>
      <c r="N93" s="19"/>
    </row>
    <row r="94" spans="1:14" s="4" customFormat="1" x14ac:dyDescent="0.25">
      <c r="A94" s="7">
        <v>86</v>
      </c>
      <c r="B94" s="45"/>
      <c r="C94" s="8"/>
      <c r="D94" s="8"/>
      <c r="E94" s="14"/>
      <c r="F94" s="10"/>
      <c r="G94" s="18"/>
      <c r="H94" s="15"/>
      <c r="I94" s="11"/>
      <c r="J94" s="15"/>
      <c r="K94" s="12"/>
      <c r="L94" s="13"/>
      <c r="M94" s="20"/>
      <c r="N94" s="19"/>
    </row>
    <row r="95" spans="1:14" s="4" customFormat="1" x14ac:dyDescent="0.25">
      <c r="A95" s="7">
        <v>87</v>
      </c>
      <c r="B95" s="45"/>
      <c r="C95" s="8"/>
      <c r="D95" s="8"/>
      <c r="E95" s="14"/>
      <c r="F95" s="10"/>
      <c r="G95" s="18"/>
      <c r="H95" s="15"/>
      <c r="I95" s="11"/>
      <c r="J95" s="15"/>
      <c r="K95" s="12"/>
      <c r="L95" s="13"/>
      <c r="M95" s="20"/>
      <c r="N95" s="19"/>
    </row>
    <row r="96" spans="1:14" s="4" customFormat="1" x14ac:dyDescent="0.25">
      <c r="A96" s="7">
        <v>88</v>
      </c>
      <c r="B96" s="45"/>
      <c r="C96" s="8"/>
      <c r="D96" s="8"/>
      <c r="E96" s="14"/>
      <c r="F96" s="10"/>
      <c r="G96" s="18"/>
      <c r="H96" s="15"/>
      <c r="I96" s="11"/>
      <c r="J96" s="15"/>
      <c r="K96" s="12"/>
      <c r="L96" s="13"/>
      <c r="M96" s="20"/>
      <c r="N96" s="19"/>
    </row>
    <row r="97" spans="1:14" s="4" customFormat="1" x14ac:dyDescent="0.25">
      <c r="A97" s="7">
        <v>89</v>
      </c>
      <c r="B97" s="45"/>
      <c r="C97" s="8"/>
      <c r="D97" s="8"/>
      <c r="E97" s="14"/>
      <c r="F97" s="10"/>
      <c r="G97" s="18"/>
      <c r="H97" s="15"/>
      <c r="I97" s="11"/>
      <c r="J97" s="15"/>
      <c r="K97" s="12"/>
      <c r="L97" s="13"/>
      <c r="M97" s="20"/>
      <c r="N97" s="19"/>
    </row>
    <row r="98" spans="1:14" x14ac:dyDescent="0.25">
      <c r="A98" s="7">
        <v>90</v>
      </c>
      <c r="B98" s="45"/>
      <c r="C98" s="8"/>
      <c r="D98" s="8"/>
      <c r="E98" s="14"/>
      <c r="F98" s="10"/>
      <c r="G98" s="18"/>
      <c r="H98" s="15"/>
      <c r="I98" s="11"/>
      <c r="J98" s="15"/>
      <c r="K98" s="12"/>
      <c r="L98" s="13"/>
      <c r="M98" s="20"/>
      <c r="N98" s="19"/>
    </row>
    <row r="99" spans="1:14" x14ac:dyDescent="0.25">
      <c r="A99" s="7">
        <v>91</v>
      </c>
      <c r="B99" s="45"/>
      <c r="C99" s="8"/>
      <c r="D99" s="8"/>
      <c r="E99" s="14"/>
      <c r="F99" s="10"/>
      <c r="G99" s="18"/>
      <c r="H99" s="15"/>
      <c r="I99" s="11"/>
      <c r="J99" s="15"/>
      <c r="K99" s="12"/>
      <c r="L99" s="13"/>
      <c r="M99" s="20"/>
      <c r="N99" s="19"/>
    </row>
    <row r="100" spans="1:14" x14ac:dyDescent="0.25">
      <c r="A100" s="7">
        <v>92</v>
      </c>
      <c r="B100" s="45"/>
      <c r="C100" s="8"/>
      <c r="D100" s="8"/>
      <c r="E100" s="14"/>
      <c r="F100" s="10"/>
      <c r="G100" s="18"/>
      <c r="H100" s="15"/>
      <c r="I100" s="11"/>
      <c r="J100" s="15"/>
      <c r="K100" s="12"/>
      <c r="L100" s="13"/>
      <c r="M100" s="20"/>
      <c r="N100" s="19"/>
    </row>
    <row r="101" spans="1:14" x14ac:dyDescent="0.25">
      <c r="A101" s="7">
        <v>93</v>
      </c>
      <c r="B101" s="45"/>
      <c r="C101" s="8"/>
      <c r="D101" s="8"/>
      <c r="E101" s="14"/>
      <c r="F101" s="10"/>
      <c r="G101" s="18"/>
      <c r="H101" s="15"/>
      <c r="I101" s="11"/>
      <c r="J101" s="15"/>
      <c r="K101" s="12"/>
      <c r="L101" s="13"/>
      <c r="M101" s="20"/>
      <c r="N101" s="19"/>
    </row>
    <row r="102" spans="1:14" x14ac:dyDescent="0.25">
      <c r="A102" s="7">
        <v>94</v>
      </c>
      <c r="B102" s="45"/>
      <c r="C102" s="8"/>
      <c r="D102" s="8"/>
      <c r="E102" s="9"/>
      <c r="F102" s="10"/>
      <c r="G102" s="17"/>
      <c r="H102" s="11"/>
      <c r="I102" s="11"/>
      <c r="J102" s="11"/>
      <c r="K102" s="12"/>
      <c r="L102" s="13"/>
      <c r="M102" s="20"/>
      <c r="N102" s="19"/>
    </row>
    <row r="103" spans="1:14" x14ac:dyDescent="0.25">
      <c r="A103" s="7">
        <v>95</v>
      </c>
      <c r="B103" s="45"/>
      <c r="C103" s="8"/>
      <c r="D103" s="8"/>
      <c r="E103" s="9"/>
      <c r="F103" s="10"/>
      <c r="G103" s="17"/>
      <c r="H103" s="11"/>
      <c r="I103" s="11"/>
      <c r="J103" s="11"/>
      <c r="K103" s="12"/>
      <c r="L103" s="13"/>
      <c r="M103" s="20"/>
      <c r="N103" s="19"/>
    </row>
    <row r="104" spans="1:14" x14ac:dyDescent="0.25">
      <c r="A104" s="7">
        <v>96</v>
      </c>
      <c r="B104" s="45"/>
      <c r="C104" s="8"/>
      <c r="D104" s="8"/>
      <c r="E104" s="9"/>
      <c r="F104" s="10"/>
      <c r="G104" s="17"/>
      <c r="H104" s="11"/>
      <c r="I104" s="11"/>
      <c r="J104" s="11"/>
      <c r="K104" s="12"/>
      <c r="L104" s="13"/>
      <c r="M104" s="20"/>
      <c r="N104" s="19"/>
    </row>
    <row r="105" spans="1:14" x14ac:dyDescent="0.25">
      <c r="A105" s="7">
        <v>97</v>
      </c>
      <c r="B105" s="45"/>
      <c r="C105" s="8"/>
      <c r="D105" s="8"/>
      <c r="E105" s="9"/>
      <c r="F105" s="10"/>
      <c r="G105" s="17"/>
      <c r="H105" s="11"/>
      <c r="I105" s="11"/>
      <c r="J105" s="11"/>
      <c r="K105" s="12"/>
      <c r="L105" s="13"/>
      <c r="M105" s="20"/>
      <c r="N105" s="19"/>
    </row>
    <row r="106" spans="1:14" x14ac:dyDescent="0.25">
      <c r="A106" s="7">
        <v>98</v>
      </c>
      <c r="B106" s="45"/>
      <c r="C106" s="8"/>
      <c r="D106" s="8"/>
      <c r="E106" s="9"/>
      <c r="F106" s="10"/>
      <c r="G106" s="17"/>
      <c r="H106" s="11"/>
      <c r="I106" s="11"/>
      <c r="J106" s="11"/>
      <c r="K106" s="12"/>
      <c r="L106" s="13"/>
      <c r="M106" s="20"/>
      <c r="N106" s="19"/>
    </row>
    <row r="107" spans="1:14" x14ac:dyDescent="0.25">
      <c r="A107" s="7">
        <v>99</v>
      </c>
      <c r="B107" s="45"/>
      <c r="C107" s="8"/>
      <c r="D107" s="8"/>
      <c r="E107" s="9"/>
      <c r="F107" s="10"/>
      <c r="G107" s="17"/>
      <c r="H107" s="11"/>
      <c r="I107" s="11"/>
      <c r="J107" s="11"/>
      <c r="K107" s="12"/>
      <c r="L107" s="13"/>
      <c r="M107" s="20"/>
      <c r="N107" s="21"/>
    </row>
    <row r="108" spans="1:14" x14ac:dyDescent="0.25">
      <c r="A108" s="141">
        <v>100</v>
      </c>
      <c r="B108" s="142"/>
      <c r="C108" s="143"/>
      <c r="D108" s="144"/>
      <c r="E108" s="145"/>
      <c r="F108" s="146"/>
      <c r="G108" s="147"/>
      <c r="H108" s="148"/>
      <c r="I108" s="148"/>
      <c r="J108" s="148"/>
      <c r="K108" s="149"/>
      <c r="L108" s="150"/>
      <c r="M108" s="151"/>
      <c r="N108" s="21"/>
    </row>
  </sheetData>
  <phoneticPr fontId="8" type="noConversion"/>
  <dataValidations count="3">
    <dataValidation type="list" allowBlank="1" showInputMessage="1" showErrorMessage="1" sqref="C9:C108" xr:uid="{EC37441C-E823-4D35-8E16-F9D6174867B6}">
      <formula1>Categories</formula1>
    </dataValidation>
    <dataValidation type="list" allowBlank="1" showInputMessage="1" showErrorMessage="1" sqref="D9:D108" xr:uid="{89D810C6-4CFB-41C8-849A-9F12E87A78DF}">
      <formula1>INDIRECT(C9)</formula1>
    </dataValidation>
    <dataValidation type="list" allowBlank="1" showInputMessage="1" showErrorMessage="1" sqref="I9:I108" xr:uid="{E1E01ED3-81D4-4808-B25D-149539046D97}">
      <formula1>Months</formula1>
    </dataValidation>
  </dataValidations>
  <pageMargins left="0.7" right="0.7" top="0.75" bottom="0.75" header="0.3" footer="0.3"/>
  <pageSetup scale="60"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67A1080-52EB-4C33-A4C8-765F9C16B5FC}">
          <x14:formula1>
            <xm:f>'Cost Appendix A'!$A$9:$A$10</xm:f>
          </x14:formula1>
          <xm:sqref>B9:B108</xm:sqref>
        </x14:dataValidation>
        <x14:dataValidation type="list" allowBlank="1" showInputMessage="1" showErrorMessage="1" xr:uid="{B5FBCD15-1801-44EB-93D6-50BC0C9CB1B1}">
          <x14:formula1>
            <xm:f>'Cost Appendix A'!$A$12:$A$13</xm:f>
          </x14:formula1>
          <xm:sqref>M9:M108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DFF1-F47E-415F-82B1-C7588E842EE6}">
  <sheetPr>
    <tabColor theme="9" tint="0.79998168889431442"/>
  </sheetPr>
  <dimension ref="A1:P59"/>
  <sheetViews>
    <sheetView workbookViewId="0">
      <pane xSplit="2" ySplit="9" topLeftCell="C10" activePane="bottomRight" state="frozen"/>
      <selection pane="topRight" activeCell="C1" sqref="C1"/>
      <selection pane="bottomLeft" activeCell="A10" sqref="A10"/>
      <selection pane="bottomRight" activeCell="P4" sqref="P4"/>
    </sheetView>
  </sheetViews>
  <sheetFormatPr defaultColWidth="9.140625" defaultRowHeight="15" x14ac:dyDescent="0.3"/>
  <cols>
    <col min="1" max="1" width="9.140625" style="22"/>
    <col min="2" max="2" width="42.7109375" style="22" bestFit="1" customWidth="1"/>
    <col min="3" max="14" width="10.7109375" style="41" customWidth="1"/>
    <col min="15" max="15" width="9.140625" style="22"/>
    <col min="16" max="16" width="50.7109375" style="22" customWidth="1"/>
    <col min="17" max="16384" width="9.140625" style="22"/>
  </cols>
  <sheetData>
    <row r="1" spans="1:16" ht="15.75" thickBot="1" x14ac:dyDescent="0.35"/>
    <row r="2" spans="1:16" ht="15.75" thickBot="1" x14ac:dyDescent="0.35">
      <c r="B2" s="171" t="s">
        <v>192</v>
      </c>
      <c r="C2" s="84">
        <v>43831</v>
      </c>
      <c r="D2" s="85">
        <v>43862</v>
      </c>
      <c r="E2" s="182">
        <v>43891</v>
      </c>
      <c r="F2" s="85">
        <v>43922</v>
      </c>
      <c r="G2" s="85">
        <v>43952</v>
      </c>
      <c r="H2" s="85">
        <v>43983</v>
      </c>
      <c r="I2" s="85">
        <v>44013</v>
      </c>
      <c r="J2" s="85">
        <v>44044</v>
      </c>
      <c r="K2" s="85">
        <v>44075</v>
      </c>
      <c r="L2" s="85">
        <v>44105</v>
      </c>
      <c r="M2" s="85">
        <v>44136</v>
      </c>
      <c r="N2" s="86">
        <v>44166</v>
      </c>
      <c r="P2" s="189" t="s">
        <v>7</v>
      </c>
    </row>
    <row r="3" spans="1:16" x14ac:dyDescent="0.3">
      <c r="B3" s="90" t="s">
        <v>329</v>
      </c>
      <c r="C3" s="183"/>
      <c r="D3" s="183"/>
      <c r="E3" s="87">
        <f>SUM(E4:E6)</f>
        <v>0</v>
      </c>
      <c r="F3" s="87">
        <f t="shared" ref="F3:N3" si="0">SUM(F4:F6)</f>
        <v>0</v>
      </c>
      <c r="G3" s="87">
        <f t="shared" si="0"/>
        <v>0</v>
      </c>
      <c r="H3" s="87">
        <f t="shared" si="0"/>
        <v>0</v>
      </c>
      <c r="I3" s="87">
        <f t="shared" si="0"/>
        <v>0</v>
      </c>
      <c r="J3" s="87">
        <f t="shared" si="0"/>
        <v>0</v>
      </c>
      <c r="K3" s="87">
        <f t="shared" si="0"/>
        <v>0</v>
      </c>
      <c r="L3" s="87">
        <f t="shared" si="0"/>
        <v>0</v>
      </c>
      <c r="M3" s="87">
        <f t="shared" si="0"/>
        <v>0</v>
      </c>
      <c r="N3" s="168">
        <f t="shared" si="0"/>
        <v>0</v>
      </c>
      <c r="P3" s="190"/>
    </row>
    <row r="4" spans="1:16" x14ac:dyDescent="0.3">
      <c r="B4" s="88" t="s">
        <v>193</v>
      </c>
      <c r="C4" s="184"/>
      <c r="D4" s="184"/>
      <c r="E4" s="89">
        <f>'HH Medicare Rev'!E6</f>
        <v>0</v>
      </c>
      <c r="F4" s="89">
        <f>'HH Medicare Rev'!F6</f>
        <v>0</v>
      </c>
      <c r="G4" s="89">
        <f>'HH Medicare Rev'!G6</f>
        <v>0</v>
      </c>
      <c r="H4" s="89">
        <f>'HH Medicare Rev'!H6</f>
        <v>0</v>
      </c>
      <c r="I4" s="89">
        <f>'HH Medicare Rev'!I6</f>
        <v>0</v>
      </c>
      <c r="J4" s="89">
        <f>'HH Medicare Rev'!J6</f>
        <v>0</v>
      </c>
      <c r="K4" s="89">
        <f>'HH Medicare Rev'!K6</f>
        <v>0</v>
      </c>
      <c r="L4" s="89">
        <f>'HH Medicare Rev'!L6</f>
        <v>0</v>
      </c>
      <c r="M4" s="89">
        <f>'HH Medicare Rev'!M6</f>
        <v>0</v>
      </c>
      <c r="N4" s="169">
        <f>'HH Medicare Rev'!N6</f>
        <v>0</v>
      </c>
      <c r="P4" s="191"/>
    </row>
    <row r="5" spans="1:16" x14ac:dyDescent="0.3">
      <c r="B5" s="88" t="s">
        <v>243</v>
      </c>
      <c r="C5" s="184"/>
      <c r="D5" s="184"/>
      <c r="E5" s="89">
        <f>'HH Non-Medicare Rev (PDGM-PPS)'!E6</f>
        <v>0</v>
      </c>
      <c r="F5" s="89">
        <f>'HH Non-Medicare Rev (PDGM-PPS)'!F6</f>
        <v>0</v>
      </c>
      <c r="G5" s="89">
        <f>'HH Non-Medicare Rev (PDGM-PPS)'!G6</f>
        <v>0</v>
      </c>
      <c r="H5" s="89">
        <f>'HH Non-Medicare Rev (PDGM-PPS)'!H6</f>
        <v>0</v>
      </c>
      <c r="I5" s="89">
        <f>'HH Non-Medicare Rev (PDGM-PPS)'!I6</f>
        <v>0</v>
      </c>
      <c r="J5" s="89">
        <f>'HH Non-Medicare Rev (PDGM-PPS)'!J6</f>
        <v>0</v>
      </c>
      <c r="K5" s="89">
        <f>'HH Non-Medicare Rev (PDGM-PPS)'!K6</f>
        <v>0</v>
      </c>
      <c r="L5" s="89">
        <f>'HH Non-Medicare Rev (PDGM-PPS)'!L6</f>
        <v>0</v>
      </c>
      <c r="M5" s="89">
        <f>'HH Non-Medicare Rev (PDGM-PPS)'!M6</f>
        <v>0</v>
      </c>
      <c r="N5" s="169">
        <f>'HH Non-Medicare Rev (PDGM-PPS)'!N6</f>
        <v>0</v>
      </c>
      <c r="P5" s="191"/>
    </row>
    <row r="6" spans="1:16" x14ac:dyDescent="0.3">
      <c r="B6" s="88" t="s">
        <v>194</v>
      </c>
      <c r="C6" s="184"/>
      <c r="D6" s="184"/>
      <c r="E6" s="89">
        <f>'HH Non-Medicare Rev (FFS)'!E5</f>
        <v>0</v>
      </c>
      <c r="F6" s="89">
        <f>'HH Non-Medicare Rev (FFS)'!F5</f>
        <v>0</v>
      </c>
      <c r="G6" s="89">
        <f>'HH Non-Medicare Rev (FFS)'!G5</f>
        <v>0</v>
      </c>
      <c r="H6" s="89">
        <f>'HH Non-Medicare Rev (FFS)'!H5</f>
        <v>0</v>
      </c>
      <c r="I6" s="89">
        <f>'HH Non-Medicare Rev (FFS)'!I5</f>
        <v>0</v>
      </c>
      <c r="J6" s="89">
        <f>'HH Non-Medicare Rev (FFS)'!J5</f>
        <v>0</v>
      </c>
      <c r="K6" s="89">
        <f>'HH Non-Medicare Rev (FFS)'!K5</f>
        <v>0</v>
      </c>
      <c r="L6" s="89">
        <f>'HH Non-Medicare Rev (FFS)'!L5</f>
        <v>0</v>
      </c>
      <c r="M6" s="89">
        <f>'HH Non-Medicare Rev (FFS)'!M5</f>
        <v>0</v>
      </c>
      <c r="N6" s="169">
        <f>'HH Non-Medicare Rev (FFS)'!N5</f>
        <v>0</v>
      </c>
      <c r="P6" s="191"/>
    </row>
    <row r="7" spans="1:16" ht="15.75" thickBot="1" x14ac:dyDescent="0.35">
      <c r="B7" s="166" t="s">
        <v>195</v>
      </c>
      <c r="C7" s="167">
        <f>'HH Cost Summary'!B95</f>
        <v>0</v>
      </c>
      <c r="D7" s="167">
        <f>'HH Cost Summary'!C95</f>
        <v>0</v>
      </c>
      <c r="E7" s="167">
        <f>'HH Cost Summary'!D95</f>
        <v>0</v>
      </c>
      <c r="F7" s="167">
        <f>'HH Cost Summary'!E95</f>
        <v>0</v>
      </c>
      <c r="G7" s="167">
        <f>'HH Cost Summary'!F95</f>
        <v>0</v>
      </c>
      <c r="H7" s="167">
        <f>'HH Cost Summary'!G95</f>
        <v>0</v>
      </c>
      <c r="I7" s="167">
        <f>'HH Cost Summary'!H95</f>
        <v>0</v>
      </c>
      <c r="J7" s="167">
        <f>'HH Cost Summary'!I95</f>
        <v>0</v>
      </c>
      <c r="K7" s="167">
        <f>'HH Cost Summary'!J95</f>
        <v>0</v>
      </c>
      <c r="L7" s="167">
        <f>'HH Cost Summary'!K95</f>
        <v>0</v>
      </c>
      <c r="M7" s="167">
        <f>'HH Cost Summary'!L95</f>
        <v>0</v>
      </c>
      <c r="N7" s="170">
        <f>'HH Cost Summary'!M95</f>
        <v>0</v>
      </c>
      <c r="P7" s="192"/>
    </row>
    <row r="8" spans="1:16" ht="15.75" thickBot="1" x14ac:dyDescent="0.35">
      <c r="P8" s="193"/>
    </row>
    <row r="9" spans="1:16" ht="15.75" thickBot="1" x14ac:dyDescent="0.35">
      <c r="B9" s="79" t="s">
        <v>199</v>
      </c>
      <c r="C9" s="84">
        <v>43831</v>
      </c>
      <c r="D9" s="85">
        <v>43862</v>
      </c>
      <c r="E9" s="182">
        <v>43891</v>
      </c>
      <c r="F9" s="85">
        <v>43922</v>
      </c>
      <c r="G9" s="85">
        <v>43952</v>
      </c>
      <c r="H9" s="85">
        <v>43983</v>
      </c>
      <c r="I9" s="85">
        <v>44013</v>
      </c>
      <c r="J9" s="85">
        <v>44044</v>
      </c>
      <c r="K9" s="85">
        <v>44075</v>
      </c>
      <c r="L9" s="85">
        <v>44105</v>
      </c>
      <c r="M9" s="85">
        <v>44136</v>
      </c>
      <c r="N9" s="86">
        <v>44166</v>
      </c>
      <c r="P9" s="189" t="s">
        <v>7</v>
      </c>
    </row>
    <row r="10" spans="1:16" x14ac:dyDescent="0.3">
      <c r="B10" s="81" t="s">
        <v>338</v>
      </c>
      <c r="C10" s="128">
        <f>'HH Rev Data Input'!B19</f>
        <v>0</v>
      </c>
      <c r="D10" s="128">
        <f>'HH Rev Data Input'!C19</f>
        <v>0</v>
      </c>
      <c r="E10" s="128">
        <f>'HH Rev Data Input'!D19</f>
        <v>0</v>
      </c>
      <c r="F10" s="128">
        <f>'HH Rev Data Input'!E19</f>
        <v>0</v>
      </c>
      <c r="G10" s="128">
        <f>'HH Rev Data Input'!F19</f>
        <v>0</v>
      </c>
      <c r="H10" s="128">
        <f>'HH Rev Data Input'!G19</f>
        <v>0</v>
      </c>
      <c r="I10" s="128">
        <f>'HH Rev Data Input'!H19</f>
        <v>0</v>
      </c>
      <c r="J10" s="128">
        <f>'HH Rev Data Input'!I19</f>
        <v>0</v>
      </c>
      <c r="K10" s="128">
        <f>'HH Rev Data Input'!J19</f>
        <v>0</v>
      </c>
      <c r="L10" s="128">
        <f>'HH Rev Data Input'!K19</f>
        <v>0</v>
      </c>
      <c r="M10" s="128">
        <f>'HH Rev Data Input'!L19</f>
        <v>0</v>
      </c>
      <c r="N10" s="172">
        <f>'HH Rev Data Input'!M19</f>
        <v>0</v>
      </c>
      <c r="P10" s="191"/>
    </row>
    <row r="11" spans="1:16" x14ac:dyDescent="0.3">
      <c r="B11" s="81" t="s">
        <v>339</v>
      </c>
      <c r="C11" s="128">
        <f>'HH Rev Data Input'!B20</f>
        <v>0</v>
      </c>
      <c r="D11" s="128">
        <f>'HH Rev Data Input'!C20</f>
        <v>0</v>
      </c>
      <c r="E11" s="128">
        <f>'HH Rev Data Input'!D20</f>
        <v>0</v>
      </c>
      <c r="F11" s="128">
        <f>'HH Rev Data Input'!E20</f>
        <v>0</v>
      </c>
      <c r="G11" s="128">
        <f>'HH Rev Data Input'!F20</f>
        <v>0</v>
      </c>
      <c r="H11" s="128">
        <f>'HH Rev Data Input'!G20</f>
        <v>0</v>
      </c>
      <c r="I11" s="128">
        <f>'HH Rev Data Input'!H20</f>
        <v>0</v>
      </c>
      <c r="J11" s="128">
        <f>'HH Rev Data Input'!I20</f>
        <v>0</v>
      </c>
      <c r="K11" s="128">
        <f>'HH Rev Data Input'!J20</f>
        <v>0</v>
      </c>
      <c r="L11" s="128">
        <f>'HH Rev Data Input'!K20</f>
        <v>0</v>
      </c>
      <c r="M11" s="128">
        <f>'HH Rev Data Input'!L20</f>
        <v>0</v>
      </c>
      <c r="N11" s="172">
        <f>'HH Rev Data Input'!M20</f>
        <v>0</v>
      </c>
      <c r="P11" s="191"/>
    </row>
    <row r="12" spans="1:16" x14ac:dyDescent="0.3">
      <c r="B12" s="81" t="s">
        <v>264</v>
      </c>
      <c r="C12" s="117">
        <f>'HH Rev Data Input'!B24</f>
        <v>0</v>
      </c>
      <c r="D12" s="117">
        <f>'HH Rev Data Input'!C24</f>
        <v>0</v>
      </c>
      <c r="E12" s="117">
        <f>'HH Rev Data Input'!D24</f>
        <v>0</v>
      </c>
      <c r="F12" s="117">
        <f>'HH Rev Data Input'!E24</f>
        <v>0</v>
      </c>
      <c r="G12" s="117">
        <f>'HH Rev Data Input'!F24</f>
        <v>0</v>
      </c>
      <c r="H12" s="117">
        <f>'HH Rev Data Input'!G24</f>
        <v>0</v>
      </c>
      <c r="I12" s="117">
        <f>'HH Rev Data Input'!H24</f>
        <v>0</v>
      </c>
      <c r="J12" s="117">
        <f>'HH Rev Data Input'!I24</f>
        <v>0</v>
      </c>
      <c r="K12" s="117">
        <f>'HH Rev Data Input'!J24</f>
        <v>0</v>
      </c>
      <c r="L12" s="117">
        <f>'HH Rev Data Input'!K24</f>
        <v>0</v>
      </c>
      <c r="M12" s="117">
        <f>'HH Rev Data Input'!L24</f>
        <v>0</v>
      </c>
      <c r="N12" s="173">
        <f>'HH Rev Data Input'!M24</f>
        <v>0</v>
      </c>
      <c r="P12" s="191"/>
    </row>
    <row r="13" spans="1:16" x14ac:dyDescent="0.3">
      <c r="B13" s="81" t="s">
        <v>265</v>
      </c>
      <c r="C13" s="117">
        <f>'HH Rev Data Input'!B25</f>
        <v>0</v>
      </c>
      <c r="D13" s="117">
        <f>'HH Rev Data Input'!C25</f>
        <v>0</v>
      </c>
      <c r="E13" s="117">
        <f>'HH Rev Data Input'!D25</f>
        <v>0</v>
      </c>
      <c r="F13" s="117">
        <f>'HH Rev Data Input'!E25</f>
        <v>0</v>
      </c>
      <c r="G13" s="117">
        <f>'HH Rev Data Input'!F25</f>
        <v>0</v>
      </c>
      <c r="H13" s="117">
        <f>'HH Rev Data Input'!G25</f>
        <v>0</v>
      </c>
      <c r="I13" s="117">
        <f>'HH Rev Data Input'!H25</f>
        <v>0</v>
      </c>
      <c r="J13" s="117">
        <f>'HH Rev Data Input'!I25</f>
        <v>0</v>
      </c>
      <c r="K13" s="117">
        <f>'HH Rev Data Input'!J25</f>
        <v>0</v>
      </c>
      <c r="L13" s="117">
        <f>'HH Rev Data Input'!K25</f>
        <v>0</v>
      </c>
      <c r="M13" s="117">
        <f>'HH Rev Data Input'!L25</f>
        <v>0</v>
      </c>
      <c r="N13" s="173">
        <f>'HH Rev Data Input'!M25</f>
        <v>0</v>
      </c>
      <c r="P13" s="191"/>
    </row>
    <row r="14" spans="1:16" x14ac:dyDescent="0.3">
      <c r="B14" s="119" t="s">
        <v>266</v>
      </c>
      <c r="C14" s="117">
        <f>'HH Rev Data Input'!B29</f>
        <v>0</v>
      </c>
      <c r="D14" s="117">
        <f>'HH Rev Data Input'!C29</f>
        <v>0</v>
      </c>
      <c r="E14" s="117">
        <f>'HH Rev Data Input'!D29</f>
        <v>0</v>
      </c>
      <c r="F14" s="117">
        <f>'HH Rev Data Input'!E29</f>
        <v>0</v>
      </c>
      <c r="G14" s="117">
        <f>'HH Rev Data Input'!F29</f>
        <v>0</v>
      </c>
      <c r="H14" s="117">
        <f>'HH Rev Data Input'!G29</f>
        <v>0</v>
      </c>
      <c r="I14" s="117">
        <f>'HH Rev Data Input'!H29</f>
        <v>0</v>
      </c>
      <c r="J14" s="117">
        <f>'HH Rev Data Input'!I29</f>
        <v>0</v>
      </c>
      <c r="K14" s="117">
        <f>'HH Rev Data Input'!J29</f>
        <v>0</v>
      </c>
      <c r="L14" s="117">
        <f>'HH Rev Data Input'!K29</f>
        <v>0</v>
      </c>
      <c r="M14" s="117">
        <f>'HH Rev Data Input'!L29</f>
        <v>0</v>
      </c>
      <c r="N14" s="173">
        <f>'HH Rev Data Input'!M29</f>
        <v>0</v>
      </c>
      <c r="P14" s="191"/>
    </row>
    <row r="15" spans="1:16" x14ac:dyDescent="0.3">
      <c r="A15" s="120"/>
      <c r="B15" s="121" t="s">
        <v>267</v>
      </c>
      <c r="C15" s="117">
        <f>'HH Rev Data Input'!B30</f>
        <v>0</v>
      </c>
      <c r="D15" s="117">
        <f>'HH Rev Data Input'!C30</f>
        <v>0</v>
      </c>
      <c r="E15" s="117">
        <f>'HH Rev Data Input'!D30</f>
        <v>0</v>
      </c>
      <c r="F15" s="117">
        <f>'HH Rev Data Input'!E30</f>
        <v>0</v>
      </c>
      <c r="G15" s="117">
        <f>'HH Rev Data Input'!F30</f>
        <v>0</v>
      </c>
      <c r="H15" s="117">
        <f>'HH Rev Data Input'!G30</f>
        <v>0</v>
      </c>
      <c r="I15" s="117">
        <f>'HH Rev Data Input'!H30</f>
        <v>0</v>
      </c>
      <c r="J15" s="117">
        <f>'HH Rev Data Input'!I30</f>
        <v>0</v>
      </c>
      <c r="K15" s="117">
        <f>'HH Rev Data Input'!J30</f>
        <v>0</v>
      </c>
      <c r="L15" s="117">
        <f>'HH Rev Data Input'!K30</f>
        <v>0</v>
      </c>
      <c r="M15" s="117">
        <f>'HH Rev Data Input'!L30</f>
        <v>0</v>
      </c>
      <c r="N15" s="173">
        <f>'HH Rev Data Input'!M30</f>
        <v>0</v>
      </c>
      <c r="P15" s="190"/>
    </row>
    <row r="16" spans="1:16" x14ac:dyDescent="0.3">
      <c r="B16" s="80" t="s">
        <v>196</v>
      </c>
      <c r="C16" s="113">
        <f>SUM('HH Rev Data Input'!B34:B36)</f>
        <v>0</v>
      </c>
      <c r="D16" s="113">
        <f>SUM('HH Rev Data Input'!C34:C36)</f>
        <v>0</v>
      </c>
      <c r="E16" s="113">
        <f>SUM('HH Rev Data Input'!D34:D36)</f>
        <v>0</v>
      </c>
      <c r="F16" s="113">
        <f>SUM('HH Rev Data Input'!E34:E36)</f>
        <v>0</v>
      </c>
      <c r="G16" s="113">
        <f>SUM('HH Rev Data Input'!F34:F36)</f>
        <v>0</v>
      </c>
      <c r="H16" s="113">
        <f>SUM('HH Rev Data Input'!G34:G36)</f>
        <v>0</v>
      </c>
      <c r="I16" s="113">
        <f>SUM('HH Rev Data Input'!H34:H36)</f>
        <v>0</v>
      </c>
      <c r="J16" s="113">
        <f>SUM('HH Rev Data Input'!I34:I36)</f>
        <v>0</v>
      </c>
      <c r="K16" s="113">
        <f>SUM('HH Rev Data Input'!J34:J36)</f>
        <v>0</v>
      </c>
      <c r="L16" s="113">
        <f>SUM('HH Rev Data Input'!K34:K36)</f>
        <v>0</v>
      </c>
      <c r="M16" s="113">
        <f>SUM('HH Rev Data Input'!L34:L36)</f>
        <v>0</v>
      </c>
      <c r="N16" s="174">
        <f>SUM('HH Rev Data Input'!M34:M36)</f>
        <v>0</v>
      </c>
      <c r="P16" s="190"/>
    </row>
    <row r="17" spans="2:16" x14ac:dyDescent="0.3">
      <c r="B17" s="80" t="s">
        <v>197</v>
      </c>
      <c r="C17" s="114">
        <f>SUM('HH Rev Data Input'!B40:B42)</f>
        <v>0</v>
      </c>
      <c r="D17" s="114">
        <f>SUM('HH Rev Data Input'!C40:C42)</f>
        <v>0</v>
      </c>
      <c r="E17" s="114">
        <f>SUM('HH Rev Data Input'!D40:D42)</f>
        <v>0</v>
      </c>
      <c r="F17" s="114">
        <f>SUM('HH Rev Data Input'!E40:E42)</f>
        <v>0</v>
      </c>
      <c r="G17" s="114">
        <f>SUM('HH Rev Data Input'!F40:F42)</f>
        <v>0</v>
      </c>
      <c r="H17" s="114">
        <f>SUM('HH Rev Data Input'!G40:G42)</f>
        <v>0</v>
      </c>
      <c r="I17" s="114">
        <f>SUM('HH Rev Data Input'!H40:H42)</f>
        <v>0</v>
      </c>
      <c r="J17" s="114">
        <f>SUM('HH Rev Data Input'!I40:I42)</f>
        <v>0</v>
      </c>
      <c r="K17" s="114">
        <f>SUM('HH Rev Data Input'!J40:J42)</f>
        <v>0</v>
      </c>
      <c r="L17" s="114">
        <f>SUM('HH Rev Data Input'!K40:K42)</f>
        <v>0</v>
      </c>
      <c r="M17" s="114">
        <f>SUM('HH Rev Data Input'!L40:L42)</f>
        <v>0</v>
      </c>
      <c r="N17" s="175">
        <f>SUM('HH Rev Data Input'!M40:M42)</f>
        <v>0</v>
      </c>
      <c r="P17" s="191"/>
    </row>
    <row r="18" spans="2:16" x14ac:dyDescent="0.3">
      <c r="B18" s="81" t="s">
        <v>202</v>
      </c>
      <c r="C18" s="115">
        <f>SUM('HH Rev Data Input'!B46:B48)</f>
        <v>0</v>
      </c>
      <c r="D18" s="115">
        <f>SUM('HH Rev Data Input'!C46:C48)</f>
        <v>0</v>
      </c>
      <c r="E18" s="115">
        <f>SUM('HH Rev Data Input'!D46:D48)</f>
        <v>0</v>
      </c>
      <c r="F18" s="115">
        <f>SUM('HH Rev Data Input'!E46:E48)</f>
        <v>0</v>
      </c>
      <c r="G18" s="115">
        <f>SUM('HH Rev Data Input'!F46:F48)</f>
        <v>0</v>
      </c>
      <c r="H18" s="115">
        <f>SUM('HH Rev Data Input'!G46:G48)</f>
        <v>0</v>
      </c>
      <c r="I18" s="115">
        <f>SUM('HH Rev Data Input'!H46:H48)</f>
        <v>0</v>
      </c>
      <c r="J18" s="115">
        <f>SUM('HH Rev Data Input'!I46:I48)</f>
        <v>0</v>
      </c>
      <c r="K18" s="115">
        <f>SUM('HH Rev Data Input'!J46:J48)</f>
        <v>0</v>
      </c>
      <c r="L18" s="115">
        <f>SUM('HH Rev Data Input'!K46:K48)</f>
        <v>0</v>
      </c>
      <c r="M18" s="115">
        <f>SUM('HH Rev Data Input'!L46:L48)</f>
        <v>0</v>
      </c>
      <c r="N18" s="176">
        <f>SUM('HH Rev Data Input'!M46:M48)</f>
        <v>0</v>
      </c>
      <c r="P18" s="191"/>
    </row>
    <row r="19" spans="2:16" x14ac:dyDescent="0.3">
      <c r="B19" s="81" t="s">
        <v>198</v>
      </c>
      <c r="C19" s="115">
        <f>SUM('HH Rev Data Input'!B52:B54)</f>
        <v>0</v>
      </c>
      <c r="D19" s="115">
        <f>SUM('HH Rev Data Input'!C52:C54)</f>
        <v>0</v>
      </c>
      <c r="E19" s="115">
        <f>SUM('HH Rev Data Input'!D52:D54)</f>
        <v>0</v>
      </c>
      <c r="F19" s="115">
        <f>SUM('HH Rev Data Input'!E52:E54)</f>
        <v>0</v>
      </c>
      <c r="G19" s="115">
        <f>SUM('HH Rev Data Input'!F52:F54)</f>
        <v>0</v>
      </c>
      <c r="H19" s="115">
        <f>SUM('HH Rev Data Input'!G52:G54)</f>
        <v>0</v>
      </c>
      <c r="I19" s="115">
        <f>SUM('HH Rev Data Input'!H52:H54)</f>
        <v>0</v>
      </c>
      <c r="J19" s="115">
        <f>SUM('HH Rev Data Input'!I52:I54)</f>
        <v>0</v>
      </c>
      <c r="K19" s="115">
        <f>SUM('HH Rev Data Input'!J52:J54)</f>
        <v>0</v>
      </c>
      <c r="L19" s="115">
        <f>SUM('HH Rev Data Input'!K52:K54)</f>
        <v>0</v>
      </c>
      <c r="M19" s="115">
        <f>SUM('HH Rev Data Input'!L52:L54)</f>
        <v>0</v>
      </c>
      <c r="N19" s="176">
        <f>SUM('HH Rev Data Input'!M52:M54)</f>
        <v>0</v>
      </c>
      <c r="P19" s="191"/>
    </row>
    <row r="20" spans="2:16" x14ac:dyDescent="0.3">
      <c r="B20" s="81" t="s">
        <v>157</v>
      </c>
      <c r="C20" s="115">
        <f>SUM('HH Rev Data Input'!B58:B60)</f>
        <v>0</v>
      </c>
      <c r="D20" s="115">
        <f>SUM('HH Rev Data Input'!C58:C60)</f>
        <v>0</v>
      </c>
      <c r="E20" s="115">
        <f>SUM('HH Rev Data Input'!D58:D60)</f>
        <v>0</v>
      </c>
      <c r="F20" s="115">
        <f>SUM('HH Rev Data Input'!E58:E60)</f>
        <v>0</v>
      </c>
      <c r="G20" s="115">
        <f>SUM('HH Rev Data Input'!F58:F60)</f>
        <v>0</v>
      </c>
      <c r="H20" s="115">
        <f>SUM('HH Rev Data Input'!G58:G60)</f>
        <v>0</v>
      </c>
      <c r="I20" s="115">
        <f>SUM('HH Rev Data Input'!H58:H60)</f>
        <v>0</v>
      </c>
      <c r="J20" s="115">
        <f>SUM('HH Rev Data Input'!I58:I60)</f>
        <v>0</v>
      </c>
      <c r="K20" s="115">
        <f>SUM('HH Rev Data Input'!J58:J60)</f>
        <v>0</v>
      </c>
      <c r="L20" s="115">
        <f>SUM('HH Rev Data Input'!K58:K60)</f>
        <v>0</v>
      </c>
      <c r="M20" s="115">
        <f>SUM('HH Rev Data Input'!L58:L60)</f>
        <v>0</v>
      </c>
      <c r="N20" s="176">
        <f>SUM('HH Rev Data Input'!M58:M60)</f>
        <v>0</v>
      </c>
      <c r="P20" s="191"/>
    </row>
    <row r="21" spans="2:16" x14ac:dyDescent="0.3">
      <c r="B21" s="81" t="s">
        <v>158</v>
      </c>
      <c r="C21" s="115">
        <f>SUM('HH Rev Data Input'!B64:B66)</f>
        <v>0</v>
      </c>
      <c r="D21" s="115">
        <f>SUM('HH Rev Data Input'!C64:C66)</f>
        <v>0</v>
      </c>
      <c r="E21" s="115">
        <f>SUM('HH Rev Data Input'!D64:D66)</f>
        <v>0</v>
      </c>
      <c r="F21" s="115">
        <f>SUM('HH Rev Data Input'!E64:E66)</f>
        <v>0</v>
      </c>
      <c r="G21" s="115">
        <f>SUM('HH Rev Data Input'!F64:F66)</f>
        <v>0</v>
      </c>
      <c r="H21" s="115">
        <f>SUM('HH Rev Data Input'!G64:G66)</f>
        <v>0</v>
      </c>
      <c r="I21" s="115">
        <f>SUM('HH Rev Data Input'!H64:H66)</f>
        <v>0</v>
      </c>
      <c r="J21" s="115">
        <f>SUM('HH Rev Data Input'!I64:I66)</f>
        <v>0</v>
      </c>
      <c r="K21" s="115">
        <f>SUM('HH Rev Data Input'!J64:J66)</f>
        <v>0</v>
      </c>
      <c r="L21" s="115">
        <f>SUM('HH Rev Data Input'!K64:K66)</f>
        <v>0</v>
      </c>
      <c r="M21" s="115">
        <f>SUM('HH Rev Data Input'!L64:L66)</f>
        <v>0</v>
      </c>
      <c r="N21" s="176">
        <f>SUM('HH Rev Data Input'!M64:M66)</f>
        <v>0</v>
      </c>
      <c r="P21" s="191"/>
    </row>
    <row r="22" spans="2:16" x14ac:dyDescent="0.3">
      <c r="B22" s="81" t="s">
        <v>254</v>
      </c>
      <c r="C22" s="118">
        <f>'HH Rev Data Input'!B70</f>
        <v>0</v>
      </c>
      <c r="D22" s="118">
        <f>'HH Rev Data Input'!C70</f>
        <v>0</v>
      </c>
      <c r="E22" s="118">
        <f>'HH Rev Data Input'!D70</f>
        <v>0</v>
      </c>
      <c r="F22" s="118">
        <f>'HH Rev Data Input'!E70</f>
        <v>0</v>
      </c>
      <c r="G22" s="118">
        <f>'HH Rev Data Input'!F70</f>
        <v>0</v>
      </c>
      <c r="H22" s="118">
        <f>'HH Rev Data Input'!G70</f>
        <v>0</v>
      </c>
      <c r="I22" s="118">
        <f>'HH Rev Data Input'!H70</f>
        <v>0</v>
      </c>
      <c r="J22" s="118">
        <f>'HH Rev Data Input'!I70</f>
        <v>0</v>
      </c>
      <c r="K22" s="118">
        <f>'HH Rev Data Input'!J70</f>
        <v>0</v>
      </c>
      <c r="L22" s="118">
        <f>'HH Rev Data Input'!K70</f>
        <v>0</v>
      </c>
      <c r="M22" s="118">
        <f>'HH Rev Data Input'!L70</f>
        <v>0</v>
      </c>
      <c r="N22" s="177">
        <f>'HH Rev Data Input'!M70</f>
        <v>0</v>
      </c>
      <c r="P22" s="191"/>
    </row>
    <row r="23" spans="2:16" x14ac:dyDescent="0.3">
      <c r="B23" s="81" t="s">
        <v>255</v>
      </c>
      <c r="C23" s="118">
        <f>'HH Rev Data Input'!B71</f>
        <v>0</v>
      </c>
      <c r="D23" s="118">
        <f>'HH Rev Data Input'!C71</f>
        <v>0</v>
      </c>
      <c r="E23" s="118">
        <f>'HH Rev Data Input'!D71</f>
        <v>0</v>
      </c>
      <c r="F23" s="118">
        <f>'HH Rev Data Input'!E71</f>
        <v>0</v>
      </c>
      <c r="G23" s="118">
        <f>'HH Rev Data Input'!F71</f>
        <v>0</v>
      </c>
      <c r="H23" s="118">
        <f>'HH Rev Data Input'!G71</f>
        <v>0</v>
      </c>
      <c r="I23" s="118">
        <f>'HH Rev Data Input'!H71</f>
        <v>0</v>
      </c>
      <c r="J23" s="118">
        <f>'HH Rev Data Input'!I71</f>
        <v>0</v>
      </c>
      <c r="K23" s="118">
        <f>'HH Rev Data Input'!J71</f>
        <v>0</v>
      </c>
      <c r="L23" s="118">
        <f>'HH Rev Data Input'!K71</f>
        <v>0</v>
      </c>
      <c r="M23" s="118">
        <f>'HH Rev Data Input'!L71</f>
        <v>0</v>
      </c>
      <c r="N23" s="177">
        <f>'HH Rev Data Input'!M71</f>
        <v>0</v>
      </c>
      <c r="P23" s="191"/>
    </row>
    <row r="24" spans="2:16" x14ac:dyDescent="0.3">
      <c r="B24" s="81" t="s">
        <v>256</v>
      </c>
      <c r="C24" s="118">
        <f>'HH Rev Data Input'!B72</f>
        <v>0</v>
      </c>
      <c r="D24" s="118">
        <f>'HH Rev Data Input'!C72</f>
        <v>0</v>
      </c>
      <c r="E24" s="118">
        <f>'HH Rev Data Input'!D72</f>
        <v>0</v>
      </c>
      <c r="F24" s="118">
        <f>'HH Rev Data Input'!E72</f>
        <v>0</v>
      </c>
      <c r="G24" s="118">
        <f>'HH Rev Data Input'!F72</f>
        <v>0</v>
      </c>
      <c r="H24" s="118">
        <f>'HH Rev Data Input'!G72</f>
        <v>0</v>
      </c>
      <c r="I24" s="118">
        <f>'HH Rev Data Input'!H72</f>
        <v>0</v>
      </c>
      <c r="J24" s="118">
        <f>'HH Rev Data Input'!I72</f>
        <v>0</v>
      </c>
      <c r="K24" s="118">
        <f>'HH Rev Data Input'!J72</f>
        <v>0</v>
      </c>
      <c r="L24" s="118">
        <f>'HH Rev Data Input'!K72</f>
        <v>0</v>
      </c>
      <c r="M24" s="118">
        <f>'HH Rev Data Input'!L72</f>
        <v>0</v>
      </c>
      <c r="N24" s="177">
        <f>'HH Rev Data Input'!M72</f>
        <v>0</v>
      </c>
      <c r="P24" s="191"/>
    </row>
    <row r="25" spans="2:16" x14ac:dyDescent="0.3">
      <c r="B25" s="81" t="s">
        <v>250</v>
      </c>
      <c r="C25" s="117">
        <f>'HH Rev Data Input'!B77</f>
        <v>0</v>
      </c>
      <c r="D25" s="117">
        <f>'HH Rev Data Input'!C77</f>
        <v>0</v>
      </c>
      <c r="E25" s="117">
        <f>'HH Rev Data Input'!D77</f>
        <v>0</v>
      </c>
      <c r="F25" s="117">
        <f>'HH Rev Data Input'!E77</f>
        <v>0</v>
      </c>
      <c r="G25" s="117">
        <f>'HH Rev Data Input'!F77</f>
        <v>0</v>
      </c>
      <c r="H25" s="117">
        <f>'HH Rev Data Input'!G77</f>
        <v>0</v>
      </c>
      <c r="I25" s="117">
        <f>'HH Rev Data Input'!H77</f>
        <v>0</v>
      </c>
      <c r="J25" s="117">
        <f>'HH Rev Data Input'!I77</f>
        <v>0</v>
      </c>
      <c r="K25" s="117">
        <f>'HH Rev Data Input'!J77</f>
        <v>0</v>
      </c>
      <c r="L25" s="117">
        <f>'HH Rev Data Input'!K77</f>
        <v>0</v>
      </c>
      <c r="M25" s="117">
        <f>'HH Rev Data Input'!L77</f>
        <v>0</v>
      </c>
      <c r="N25" s="173">
        <f>'HH Rev Data Input'!M77</f>
        <v>0</v>
      </c>
      <c r="P25" s="191"/>
    </row>
    <row r="26" spans="2:16" x14ac:dyDescent="0.3">
      <c r="B26" s="81" t="s">
        <v>251</v>
      </c>
      <c r="C26" s="117">
        <f>'HH Rev Data Input'!B78</f>
        <v>0</v>
      </c>
      <c r="D26" s="117">
        <f>'HH Rev Data Input'!C78</f>
        <v>0</v>
      </c>
      <c r="E26" s="117">
        <f>'HH Rev Data Input'!D78</f>
        <v>0</v>
      </c>
      <c r="F26" s="117">
        <f>'HH Rev Data Input'!E78</f>
        <v>0</v>
      </c>
      <c r="G26" s="117">
        <f>'HH Rev Data Input'!F78</f>
        <v>0</v>
      </c>
      <c r="H26" s="117">
        <f>'HH Rev Data Input'!G78</f>
        <v>0</v>
      </c>
      <c r="I26" s="117">
        <f>'HH Rev Data Input'!H78</f>
        <v>0</v>
      </c>
      <c r="J26" s="117">
        <f>'HH Rev Data Input'!I78</f>
        <v>0</v>
      </c>
      <c r="K26" s="117">
        <f>'HH Rev Data Input'!J78</f>
        <v>0</v>
      </c>
      <c r="L26" s="117">
        <f>'HH Rev Data Input'!K78</f>
        <v>0</v>
      </c>
      <c r="M26" s="117">
        <f>'HH Rev Data Input'!L78</f>
        <v>0</v>
      </c>
      <c r="N26" s="173">
        <f>'HH Rev Data Input'!M78</f>
        <v>0</v>
      </c>
      <c r="P26" s="191"/>
    </row>
    <row r="27" spans="2:16" x14ac:dyDescent="0.3">
      <c r="B27" s="81" t="s">
        <v>252</v>
      </c>
      <c r="C27" s="117">
        <f>'HH Rev Data Input'!B79</f>
        <v>0</v>
      </c>
      <c r="D27" s="117">
        <f>'HH Rev Data Input'!C79</f>
        <v>0</v>
      </c>
      <c r="E27" s="117">
        <f>'HH Rev Data Input'!D79</f>
        <v>0</v>
      </c>
      <c r="F27" s="117">
        <f>'HH Rev Data Input'!E79</f>
        <v>0</v>
      </c>
      <c r="G27" s="117">
        <f>'HH Rev Data Input'!F79</f>
        <v>0</v>
      </c>
      <c r="H27" s="117">
        <f>'HH Rev Data Input'!G79</f>
        <v>0</v>
      </c>
      <c r="I27" s="117">
        <f>'HH Rev Data Input'!H79</f>
        <v>0</v>
      </c>
      <c r="J27" s="117">
        <f>'HH Rev Data Input'!I79</f>
        <v>0</v>
      </c>
      <c r="K27" s="117">
        <f>'HH Rev Data Input'!J79</f>
        <v>0</v>
      </c>
      <c r="L27" s="117">
        <f>'HH Rev Data Input'!K79</f>
        <v>0</v>
      </c>
      <c r="M27" s="117">
        <f>'HH Rev Data Input'!L79</f>
        <v>0</v>
      </c>
      <c r="N27" s="173">
        <f>'HH Rev Data Input'!M79</f>
        <v>0</v>
      </c>
      <c r="P27" s="191"/>
    </row>
    <row r="28" spans="2:16" x14ac:dyDescent="0.3">
      <c r="B28" s="116" t="s">
        <v>309</v>
      </c>
      <c r="C28" s="129">
        <f>'HH Rev Data Input'!B83</f>
        <v>0</v>
      </c>
      <c r="D28" s="129">
        <f>'HH Rev Data Input'!C83</f>
        <v>0</v>
      </c>
      <c r="E28" s="129">
        <f>'HH Rev Data Input'!D83</f>
        <v>0</v>
      </c>
      <c r="F28" s="129">
        <f>'HH Rev Data Input'!E83</f>
        <v>0</v>
      </c>
      <c r="G28" s="129">
        <f>'HH Rev Data Input'!F83</f>
        <v>0</v>
      </c>
      <c r="H28" s="129">
        <f>'HH Rev Data Input'!G83</f>
        <v>0</v>
      </c>
      <c r="I28" s="129">
        <f>'HH Rev Data Input'!H83</f>
        <v>0</v>
      </c>
      <c r="J28" s="129">
        <f>'HH Rev Data Input'!I83</f>
        <v>0</v>
      </c>
      <c r="K28" s="129">
        <f>'HH Rev Data Input'!J83</f>
        <v>0</v>
      </c>
      <c r="L28" s="129">
        <f>'HH Rev Data Input'!K83</f>
        <v>0</v>
      </c>
      <c r="M28" s="129">
        <f>'HH Rev Data Input'!L83</f>
        <v>0</v>
      </c>
      <c r="N28" s="178">
        <f>'HH Rev Data Input'!M83</f>
        <v>0</v>
      </c>
      <c r="P28" s="191"/>
    </row>
    <row r="29" spans="2:16" x14ac:dyDescent="0.3">
      <c r="B29" s="116" t="s">
        <v>312</v>
      </c>
      <c r="C29" s="129">
        <f>'HH Rev Data Input'!B84</f>
        <v>0</v>
      </c>
      <c r="D29" s="129">
        <f>'HH Rev Data Input'!C84</f>
        <v>0</v>
      </c>
      <c r="E29" s="129">
        <f>'HH Rev Data Input'!D84</f>
        <v>0</v>
      </c>
      <c r="F29" s="129">
        <f>'HH Rev Data Input'!E84</f>
        <v>0</v>
      </c>
      <c r="G29" s="129">
        <f>'HH Rev Data Input'!F84</f>
        <v>0</v>
      </c>
      <c r="H29" s="129">
        <f>'HH Rev Data Input'!G84</f>
        <v>0</v>
      </c>
      <c r="I29" s="129">
        <f>'HH Rev Data Input'!H84</f>
        <v>0</v>
      </c>
      <c r="J29" s="129">
        <f>'HH Rev Data Input'!I84</f>
        <v>0</v>
      </c>
      <c r="K29" s="129">
        <f>'HH Rev Data Input'!J84</f>
        <v>0</v>
      </c>
      <c r="L29" s="129">
        <f>'HH Rev Data Input'!K84</f>
        <v>0</v>
      </c>
      <c r="M29" s="129">
        <f>'HH Rev Data Input'!L84</f>
        <v>0</v>
      </c>
      <c r="N29" s="178">
        <f>'HH Rev Data Input'!M84</f>
        <v>0</v>
      </c>
      <c r="P29" s="191"/>
    </row>
    <row r="30" spans="2:16" x14ac:dyDescent="0.3">
      <c r="B30" s="116" t="s">
        <v>313</v>
      </c>
      <c r="C30" s="129">
        <f>'HH Rev Data Input'!B85</f>
        <v>0</v>
      </c>
      <c r="D30" s="129">
        <f>'HH Rev Data Input'!C85</f>
        <v>0</v>
      </c>
      <c r="E30" s="129">
        <f>'HH Rev Data Input'!D85</f>
        <v>0</v>
      </c>
      <c r="F30" s="129">
        <f>'HH Rev Data Input'!E85</f>
        <v>0</v>
      </c>
      <c r="G30" s="129">
        <f>'HH Rev Data Input'!F85</f>
        <v>0</v>
      </c>
      <c r="H30" s="129">
        <f>'HH Rev Data Input'!G85</f>
        <v>0</v>
      </c>
      <c r="I30" s="129">
        <f>'HH Rev Data Input'!H85</f>
        <v>0</v>
      </c>
      <c r="J30" s="129">
        <f>'HH Rev Data Input'!I85</f>
        <v>0</v>
      </c>
      <c r="K30" s="129">
        <f>'HH Rev Data Input'!J85</f>
        <v>0</v>
      </c>
      <c r="L30" s="129">
        <f>'HH Rev Data Input'!K85</f>
        <v>0</v>
      </c>
      <c r="M30" s="129">
        <f>'HH Rev Data Input'!L85</f>
        <v>0</v>
      </c>
      <c r="N30" s="178">
        <f>'HH Rev Data Input'!M85</f>
        <v>0</v>
      </c>
      <c r="P30" s="191"/>
    </row>
    <row r="31" spans="2:16" x14ac:dyDescent="0.3">
      <c r="B31" s="116" t="s">
        <v>314</v>
      </c>
      <c r="C31" s="129">
        <f>'HH Rev Data Input'!B86</f>
        <v>0</v>
      </c>
      <c r="D31" s="129">
        <f>'HH Rev Data Input'!C86</f>
        <v>0</v>
      </c>
      <c r="E31" s="129">
        <f>'HH Rev Data Input'!D86</f>
        <v>0</v>
      </c>
      <c r="F31" s="129">
        <f>'HH Rev Data Input'!E86</f>
        <v>0</v>
      </c>
      <c r="G31" s="129">
        <f>'HH Rev Data Input'!F86</f>
        <v>0</v>
      </c>
      <c r="H31" s="129">
        <f>'HH Rev Data Input'!G86</f>
        <v>0</v>
      </c>
      <c r="I31" s="129">
        <f>'HH Rev Data Input'!H86</f>
        <v>0</v>
      </c>
      <c r="J31" s="129">
        <f>'HH Rev Data Input'!I86</f>
        <v>0</v>
      </c>
      <c r="K31" s="129">
        <f>'HH Rev Data Input'!J86</f>
        <v>0</v>
      </c>
      <c r="L31" s="129">
        <f>'HH Rev Data Input'!K86</f>
        <v>0</v>
      </c>
      <c r="M31" s="129">
        <f>'HH Rev Data Input'!L86</f>
        <v>0</v>
      </c>
      <c r="N31" s="178">
        <f>'HH Rev Data Input'!M86</f>
        <v>0</v>
      </c>
      <c r="P31" s="191"/>
    </row>
    <row r="32" spans="2:16" x14ac:dyDescent="0.3">
      <c r="B32" s="116" t="s">
        <v>310</v>
      </c>
      <c r="C32" s="129">
        <f>'HH Rev Data Input'!B87</f>
        <v>0</v>
      </c>
      <c r="D32" s="129">
        <f>'HH Rev Data Input'!C87</f>
        <v>0</v>
      </c>
      <c r="E32" s="129">
        <f>'HH Rev Data Input'!D87</f>
        <v>0</v>
      </c>
      <c r="F32" s="129">
        <f>'HH Rev Data Input'!E87</f>
        <v>0</v>
      </c>
      <c r="G32" s="129">
        <f>'HH Rev Data Input'!F87</f>
        <v>0</v>
      </c>
      <c r="H32" s="129">
        <f>'HH Rev Data Input'!G87</f>
        <v>0</v>
      </c>
      <c r="I32" s="129">
        <f>'HH Rev Data Input'!H87</f>
        <v>0</v>
      </c>
      <c r="J32" s="129">
        <f>'HH Rev Data Input'!I87</f>
        <v>0</v>
      </c>
      <c r="K32" s="129">
        <f>'HH Rev Data Input'!J87</f>
        <v>0</v>
      </c>
      <c r="L32" s="129">
        <f>'HH Rev Data Input'!K87</f>
        <v>0</v>
      </c>
      <c r="M32" s="129">
        <f>'HH Rev Data Input'!L87</f>
        <v>0</v>
      </c>
      <c r="N32" s="178">
        <f>'HH Rev Data Input'!M87</f>
        <v>0</v>
      </c>
      <c r="P32" s="191"/>
    </row>
    <row r="33" spans="2:16" x14ac:dyDescent="0.3">
      <c r="B33" s="116" t="s">
        <v>311</v>
      </c>
      <c r="C33" s="129">
        <f>'HH Rev Data Input'!B88</f>
        <v>0</v>
      </c>
      <c r="D33" s="129">
        <f>'HH Rev Data Input'!C88</f>
        <v>0</v>
      </c>
      <c r="E33" s="129">
        <f>'HH Rev Data Input'!D88</f>
        <v>0</v>
      </c>
      <c r="F33" s="129">
        <f>'HH Rev Data Input'!E88</f>
        <v>0</v>
      </c>
      <c r="G33" s="129">
        <f>'HH Rev Data Input'!F88</f>
        <v>0</v>
      </c>
      <c r="H33" s="129">
        <f>'HH Rev Data Input'!G88</f>
        <v>0</v>
      </c>
      <c r="I33" s="129">
        <f>'HH Rev Data Input'!H88</f>
        <v>0</v>
      </c>
      <c r="J33" s="129">
        <f>'HH Rev Data Input'!I88</f>
        <v>0</v>
      </c>
      <c r="K33" s="129">
        <f>'HH Rev Data Input'!J88</f>
        <v>0</v>
      </c>
      <c r="L33" s="129">
        <f>'HH Rev Data Input'!K88</f>
        <v>0</v>
      </c>
      <c r="M33" s="129">
        <f>'HH Rev Data Input'!L88</f>
        <v>0</v>
      </c>
      <c r="N33" s="178">
        <f>'HH Rev Data Input'!M88</f>
        <v>0</v>
      </c>
      <c r="P33" s="191"/>
    </row>
    <row r="34" spans="2:16" x14ac:dyDescent="0.3">
      <c r="B34" s="116" t="s">
        <v>258</v>
      </c>
      <c r="C34" s="62">
        <f>'HH Rev Data Input'!B92</f>
        <v>0</v>
      </c>
      <c r="D34" s="62">
        <f>'HH Rev Data Input'!C92</f>
        <v>0</v>
      </c>
      <c r="E34" s="62">
        <f>'HH Rev Data Input'!D92</f>
        <v>0</v>
      </c>
      <c r="F34" s="62">
        <f>'HH Rev Data Input'!E92</f>
        <v>0</v>
      </c>
      <c r="G34" s="62">
        <f>'HH Rev Data Input'!F92</f>
        <v>0</v>
      </c>
      <c r="H34" s="62">
        <f>'HH Rev Data Input'!G92</f>
        <v>0</v>
      </c>
      <c r="I34" s="62">
        <f>'HH Rev Data Input'!H92</f>
        <v>0</v>
      </c>
      <c r="J34" s="62">
        <f>'HH Rev Data Input'!I92</f>
        <v>0</v>
      </c>
      <c r="K34" s="62">
        <f>'HH Rev Data Input'!J92</f>
        <v>0</v>
      </c>
      <c r="L34" s="62">
        <f>'HH Rev Data Input'!K92</f>
        <v>0</v>
      </c>
      <c r="M34" s="62">
        <f>'HH Rev Data Input'!L92</f>
        <v>0</v>
      </c>
      <c r="N34" s="179">
        <f>'HH Rev Data Input'!M92</f>
        <v>0</v>
      </c>
      <c r="P34" s="191"/>
    </row>
    <row r="35" spans="2:16" x14ac:dyDescent="0.3">
      <c r="B35" s="116" t="s">
        <v>260</v>
      </c>
      <c r="C35" s="62">
        <f>'HH Rev Data Input'!B93</f>
        <v>0</v>
      </c>
      <c r="D35" s="62">
        <f>'HH Rev Data Input'!C93</f>
        <v>0</v>
      </c>
      <c r="E35" s="62">
        <f>'HH Rev Data Input'!D93</f>
        <v>0</v>
      </c>
      <c r="F35" s="62">
        <f>'HH Rev Data Input'!E93</f>
        <v>0</v>
      </c>
      <c r="G35" s="62">
        <f>'HH Rev Data Input'!F93</f>
        <v>0</v>
      </c>
      <c r="H35" s="62">
        <f>'HH Rev Data Input'!G93</f>
        <v>0</v>
      </c>
      <c r="I35" s="62">
        <f>'HH Rev Data Input'!H93</f>
        <v>0</v>
      </c>
      <c r="J35" s="62">
        <f>'HH Rev Data Input'!I93</f>
        <v>0</v>
      </c>
      <c r="K35" s="62">
        <f>'HH Rev Data Input'!J93</f>
        <v>0</v>
      </c>
      <c r="L35" s="62">
        <f>'HH Rev Data Input'!K93</f>
        <v>0</v>
      </c>
      <c r="M35" s="62">
        <f>'HH Rev Data Input'!L93</f>
        <v>0</v>
      </c>
      <c r="N35" s="179">
        <f>'HH Rev Data Input'!M93</f>
        <v>0</v>
      </c>
      <c r="P35" s="191"/>
    </row>
    <row r="36" spans="2:16" x14ac:dyDescent="0.3">
      <c r="B36" s="116" t="s">
        <v>262</v>
      </c>
      <c r="C36" s="62">
        <f>'HH Rev Data Input'!B94</f>
        <v>0</v>
      </c>
      <c r="D36" s="62">
        <f>'HH Rev Data Input'!C94</f>
        <v>0</v>
      </c>
      <c r="E36" s="62">
        <f>'HH Rev Data Input'!D94</f>
        <v>0</v>
      </c>
      <c r="F36" s="62">
        <f>'HH Rev Data Input'!E94</f>
        <v>0</v>
      </c>
      <c r="G36" s="62">
        <f>'HH Rev Data Input'!F94</f>
        <v>0</v>
      </c>
      <c r="H36" s="62">
        <f>'HH Rev Data Input'!G94</f>
        <v>0</v>
      </c>
      <c r="I36" s="62">
        <f>'HH Rev Data Input'!H94</f>
        <v>0</v>
      </c>
      <c r="J36" s="62">
        <f>'HH Rev Data Input'!I94</f>
        <v>0</v>
      </c>
      <c r="K36" s="62">
        <f>'HH Rev Data Input'!J94</f>
        <v>0</v>
      </c>
      <c r="L36" s="62">
        <f>'HH Rev Data Input'!K94</f>
        <v>0</v>
      </c>
      <c r="M36" s="62">
        <f>'HH Rev Data Input'!L94</f>
        <v>0</v>
      </c>
      <c r="N36" s="179">
        <f>'HH Rev Data Input'!M94</f>
        <v>0</v>
      </c>
      <c r="P36" s="191"/>
    </row>
    <row r="37" spans="2:16" x14ac:dyDescent="0.3">
      <c r="B37" s="116" t="s">
        <v>261</v>
      </c>
      <c r="C37" s="62">
        <f>'HH Rev Data Input'!B95</f>
        <v>0</v>
      </c>
      <c r="D37" s="62">
        <f>'HH Rev Data Input'!C95</f>
        <v>0</v>
      </c>
      <c r="E37" s="62">
        <f>'HH Rev Data Input'!D95</f>
        <v>0</v>
      </c>
      <c r="F37" s="62">
        <f>'HH Rev Data Input'!E95</f>
        <v>0</v>
      </c>
      <c r="G37" s="62">
        <f>'HH Rev Data Input'!F95</f>
        <v>0</v>
      </c>
      <c r="H37" s="62">
        <f>'HH Rev Data Input'!G95</f>
        <v>0</v>
      </c>
      <c r="I37" s="62">
        <f>'HH Rev Data Input'!H95</f>
        <v>0</v>
      </c>
      <c r="J37" s="62">
        <f>'HH Rev Data Input'!I95</f>
        <v>0</v>
      </c>
      <c r="K37" s="62">
        <f>'HH Rev Data Input'!J95</f>
        <v>0</v>
      </c>
      <c r="L37" s="62">
        <f>'HH Rev Data Input'!K95</f>
        <v>0</v>
      </c>
      <c r="M37" s="62">
        <f>'HH Rev Data Input'!L95</f>
        <v>0</v>
      </c>
      <c r="N37" s="179">
        <f>'HH Rev Data Input'!M95</f>
        <v>0</v>
      </c>
      <c r="P37" s="191"/>
    </row>
    <row r="38" spans="2:16" x14ac:dyDescent="0.3">
      <c r="B38" s="116" t="s">
        <v>257</v>
      </c>
      <c r="C38" s="62">
        <f>'HH Rev Data Input'!B96</f>
        <v>0</v>
      </c>
      <c r="D38" s="62">
        <f>'HH Rev Data Input'!C96</f>
        <v>0</v>
      </c>
      <c r="E38" s="62">
        <f>'HH Rev Data Input'!D96</f>
        <v>0</v>
      </c>
      <c r="F38" s="62">
        <f>'HH Rev Data Input'!E96</f>
        <v>0</v>
      </c>
      <c r="G38" s="62">
        <f>'HH Rev Data Input'!F96</f>
        <v>0</v>
      </c>
      <c r="H38" s="62">
        <f>'HH Rev Data Input'!G96</f>
        <v>0</v>
      </c>
      <c r="I38" s="62">
        <f>'HH Rev Data Input'!H96</f>
        <v>0</v>
      </c>
      <c r="J38" s="62">
        <f>'HH Rev Data Input'!I96</f>
        <v>0</v>
      </c>
      <c r="K38" s="62">
        <f>'HH Rev Data Input'!J96</f>
        <v>0</v>
      </c>
      <c r="L38" s="62">
        <f>'HH Rev Data Input'!K96</f>
        <v>0</v>
      </c>
      <c r="M38" s="62">
        <f>'HH Rev Data Input'!L96</f>
        <v>0</v>
      </c>
      <c r="N38" s="179">
        <f>'HH Rev Data Input'!M96</f>
        <v>0</v>
      </c>
      <c r="P38" s="191"/>
    </row>
    <row r="39" spans="2:16" x14ac:dyDescent="0.3">
      <c r="B39" s="116" t="s">
        <v>259</v>
      </c>
      <c r="C39" s="62">
        <f>'HH Rev Data Input'!B97</f>
        <v>0</v>
      </c>
      <c r="D39" s="62">
        <f>'HH Rev Data Input'!C97</f>
        <v>0</v>
      </c>
      <c r="E39" s="62">
        <f>'HH Rev Data Input'!D97</f>
        <v>0</v>
      </c>
      <c r="F39" s="62">
        <f>'HH Rev Data Input'!E97</f>
        <v>0</v>
      </c>
      <c r="G39" s="62">
        <f>'HH Rev Data Input'!F97</f>
        <v>0</v>
      </c>
      <c r="H39" s="62">
        <f>'HH Rev Data Input'!G97</f>
        <v>0</v>
      </c>
      <c r="I39" s="62">
        <f>'HH Rev Data Input'!H97</f>
        <v>0</v>
      </c>
      <c r="J39" s="62">
        <f>'HH Rev Data Input'!I97</f>
        <v>0</v>
      </c>
      <c r="K39" s="62">
        <f>'HH Rev Data Input'!J97</f>
        <v>0</v>
      </c>
      <c r="L39" s="62">
        <f>'HH Rev Data Input'!K97</f>
        <v>0</v>
      </c>
      <c r="M39" s="62">
        <f>'HH Rev Data Input'!L97</f>
        <v>0</v>
      </c>
      <c r="N39" s="179">
        <f>'HH Rev Data Input'!M97</f>
        <v>0</v>
      </c>
      <c r="P39" s="191"/>
    </row>
    <row r="40" spans="2:16" x14ac:dyDescent="0.3">
      <c r="B40" s="116" t="s">
        <v>268</v>
      </c>
      <c r="C40" s="62">
        <f>'HH Rev Data Input'!B98</f>
        <v>0</v>
      </c>
      <c r="D40" s="62">
        <f>'HH Rev Data Input'!C98</f>
        <v>0</v>
      </c>
      <c r="E40" s="62">
        <f>'HH Rev Data Input'!D98</f>
        <v>0</v>
      </c>
      <c r="F40" s="62">
        <f>'HH Rev Data Input'!E98</f>
        <v>0</v>
      </c>
      <c r="G40" s="62">
        <f>'HH Rev Data Input'!F98</f>
        <v>0</v>
      </c>
      <c r="H40" s="62">
        <f>'HH Rev Data Input'!G98</f>
        <v>0</v>
      </c>
      <c r="I40" s="62">
        <f>'HH Rev Data Input'!H98</f>
        <v>0</v>
      </c>
      <c r="J40" s="62">
        <f>'HH Rev Data Input'!I98</f>
        <v>0</v>
      </c>
      <c r="K40" s="62">
        <f>'HH Rev Data Input'!J98</f>
        <v>0</v>
      </c>
      <c r="L40" s="62">
        <f>'HH Rev Data Input'!K98</f>
        <v>0</v>
      </c>
      <c r="M40" s="62">
        <f>'HH Rev Data Input'!L98</f>
        <v>0</v>
      </c>
      <c r="N40" s="179">
        <f>'HH Rev Data Input'!M98</f>
        <v>0</v>
      </c>
      <c r="P40" s="191"/>
    </row>
    <row r="41" spans="2:16" x14ac:dyDescent="0.3">
      <c r="B41" s="116" t="s">
        <v>270</v>
      </c>
      <c r="C41" s="117">
        <f>'HH Rev Data Input'!B102</f>
        <v>0</v>
      </c>
      <c r="D41" s="117">
        <f>'HH Rev Data Input'!C102</f>
        <v>0</v>
      </c>
      <c r="E41" s="117">
        <f>'HH Rev Data Input'!D102</f>
        <v>0</v>
      </c>
      <c r="F41" s="117">
        <f>'HH Rev Data Input'!E102</f>
        <v>0</v>
      </c>
      <c r="G41" s="117">
        <f>'HH Rev Data Input'!F102</f>
        <v>0</v>
      </c>
      <c r="H41" s="117">
        <f>'HH Rev Data Input'!G102</f>
        <v>0</v>
      </c>
      <c r="I41" s="117">
        <f>'HH Rev Data Input'!H102</f>
        <v>0</v>
      </c>
      <c r="J41" s="117">
        <f>'HH Rev Data Input'!I102</f>
        <v>0</v>
      </c>
      <c r="K41" s="117">
        <f>'HH Rev Data Input'!J102</f>
        <v>0</v>
      </c>
      <c r="L41" s="117">
        <f>'HH Rev Data Input'!K102</f>
        <v>0</v>
      </c>
      <c r="M41" s="117">
        <f>'HH Rev Data Input'!L102</f>
        <v>0</v>
      </c>
      <c r="N41" s="173">
        <f>'HH Rev Data Input'!M102</f>
        <v>0</v>
      </c>
      <c r="P41" s="191"/>
    </row>
    <row r="42" spans="2:16" x14ac:dyDescent="0.3">
      <c r="B42" s="116" t="s">
        <v>271</v>
      </c>
      <c r="C42" s="117">
        <f>'HH Rev Data Input'!B103</f>
        <v>0</v>
      </c>
      <c r="D42" s="117">
        <f>'HH Rev Data Input'!C103</f>
        <v>0</v>
      </c>
      <c r="E42" s="117">
        <f>'HH Rev Data Input'!D103</f>
        <v>0</v>
      </c>
      <c r="F42" s="117">
        <f>'HH Rev Data Input'!E103</f>
        <v>0</v>
      </c>
      <c r="G42" s="117">
        <f>'HH Rev Data Input'!F103</f>
        <v>0</v>
      </c>
      <c r="H42" s="117">
        <f>'HH Rev Data Input'!G103</f>
        <v>0</v>
      </c>
      <c r="I42" s="117">
        <f>'HH Rev Data Input'!H103</f>
        <v>0</v>
      </c>
      <c r="J42" s="117">
        <f>'HH Rev Data Input'!I103</f>
        <v>0</v>
      </c>
      <c r="K42" s="117">
        <f>'HH Rev Data Input'!J103</f>
        <v>0</v>
      </c>
      <c r="L42" s="117">
        <f>'HH Rev Data Input'!K103</f>
        <v>0</v>
      </c>
      <c r="M42" s="117">
        <f>'HH Rev Data Input'!L103</f>
        <v>0</v>
      </c>
      <c r="N42" s="173">
        <f>'HH Rev Data Input'!M103</f>
        <v>0</v>
      </c>
      <c r="P42" s="191"/>
    </row>
    <row r="43" spans="2:16" x14ac:dyDescent="0.3">
      <c r="B43" s="116" t="s">
        <v>272</v>
      </c>
      <c r="C43" s="117">
        <f>'HH Rev Data Input'!B104</f>
        <v>0</v>
      </c>
      <c r="D43" s="117">
        <f>'HH Rev Data Input'!C104</f>
        <v>0</v>
      </c>
      <c r="E43" s="117">
        <f>'HH Rev Data Input'!D104</f>
        <v>0</v>
      </c>
      <c r="F43" s="117">
        <f>'HH Rev Data Input'!E104</f>
        <v>0</v>
      </c>
      <c r="G43" s="117">
        <f>'HH Rev Data Input'!F104</f>
        <v>0</v>
      </c>
      <c r="H43" s="117">
        <f>'HH Rev Data Input'!G104</f>
        <v>0</v>
      </c>
      <c r="I43" s="117">
        <f>'HH Rev Data Input'!H104</f>
        <v>0</v>
      </c>
      <c r="J43" s="117">
        <f>'HH Rev Data Input'!I104</f>
        <v>0</v>
      </c>
      <c r="K43" s="117">
        <f>'HH Rev Data Input'!J104</f>
        <v>0</v>
      </c>
      <c r="L43" s="117">
        <f>'HH Rev Data Input'!K104</f>
        <v>0</v>
      </c>
      <c r="M43" s="117">
        <f>'HH Rev Data Input'!L104</f>
        <v>0</v>
      </c>
      <c r="N43" s="173">
        <f>'HH Rev Data Input'!M104</f>
        <v>0</v>
      </c>
      <c r="P43" s="191"/>
    </row>
    <row r="44" spans="2:16" x14ac:dyDescent="0.3">
      <c r="B44" s="116" t="s">
        <v>273</v>
      </c>
      <c r="C44" s="117">
        <f>'HH Rev Data Input'!B105</f>
        <v>0</v>
      </c>
      <c r="D44" s="117">
        <f>'HH Rev Data Input'!C105</f>
        <v>0</v>
      </c>
      <c r="E44" s="117">
        <f>'HH Rev Data Input'!D105</f>
        <v>0</v>
      </c>
      <c r="F44" s="117">
        <f>'HH Rev Data Input'!E105</f>
        <v>0</v>
      </c>
      <c r="G44" s="117">
        <f>'HH Rev Data Input'!F105</f>
        <v>0</v>
      </c>
      <c r="H44" s="117">
        <f>'HH Rev Data Input'!G105</f>
        <v>0</v>
      </c>
      <c r="I44" s="117">
        <f>'HH Rev Data Input'!H105</f>
        <v>0</v>
      </c>
      <c r="J44" s="117">
        <f>'HH Rev Data Input'!I105</f>
        <v>0</v>
      </c>
      <c r="K44" s="117">
        <f>'HH Rev Data Input'!J105</f>
        <v>0</v>
      </c>
      <c r="L44" s="117">
        <f>'HH Rev Data Input'!K105</f>
        <v>0</v>
      </c>
      <c r="M44" s="117">
        <f>'HH Rev Data Input'!L105</f>
        <v>0</v>
      </c>
      <c r="N44" s="173">
        <f>'HH Rev Data Input'!M105</f>
        <v>0</v>
      </c>
      <c r="P44" s="191"/>
    </row>
    <row r="45" spans="2:16" x14ac:dyDescent="0.3">
      <c r="B45" s="116" t="s">
        <v>274</v>
      </c>
      <c r="C45" s="117">
        <f>'HH Rev Data Input'!B106</f>
        <v>0</v>
      </c>
      <c r="D45" s="117">
        <f>'HH Rev Data Input'!C106</f>
        <v>0</v>
      </c>
      <c r="E45" s="117">
        <f>'HH Rev Data Input'!D106</f>
        <v>0</v>
      </c>
      <c r="F45" s="117">
        <f>'HH Rev Data Input'!E106</f>
        <v>0</v>
      </c>
      <c r="G45" s="117">
        <f>'HH Rev Data Input'!F106</f>
        <v>0</v>
      </c>
      <c r="H45" s="117">
        <f>'HH Rev Data Input'!G106</f>
        <v>0</v>
      </c>
      <c r="I45" s="117">
        <f>'HH Rev Data Input'!H106</f>
        <v>0</v>
      </c>
      <c r="J45" s="117">
        <f>'HH Rev Data Input'!I106</f>
        <v>0</v>
      </c>
      <c r="K45" s="117">
        <f>'HH Rev Data Input'!J106</f>
        <v>0</v>
      </c>
      <c r="L45" s="117">
        <f>'HH Rev Data Input'!K106</f>
        <v>0</v>
      </c>
      <c r="M45" s="117">
        <f>'HH Rev Data Input'!L106</f>
        <v>0</v>
      </c>
      <c r="N45" s="173">
        <f>'HH Rev Data Input'!M106</f>
        <v>0</v>
      </c>
      <c r="P45" s="191"/>
    </row>
    <row r="46" spans="2:16" x14ac:dyDescent="0.3">
      <c r="B46" s="116" t="s">
        <v>275</v>
      </c>
      <c r="C46" s="117">
        <f>'HH Rev Data Input'!B107</f>
        <v>0</v>
      </c>
      <c r="D46" s="117">
        <f>'HH Rev Data Input'!C107</f>
        <v>0</v>
      </c>
      <c r="E46" s="117">
        <f>'HH Rev Data Input'!D107</f>
        <v>0</v>
      </c>
      <c r="F46" s="117">
        <f>'HH Rev Data Input'!E107</f>
        <v>0</v>
      </c>
      <c r="G46" s="117">
        <f>'HH Rev Data Input'!F107</f>
        <v>0</v>
      </c>
      <c r="H46" s="117">
        <f>'HH Rev Data Input'!G107</f>
        <v>0</v>
      </c>
      <c r="I46" s="117">
        <f>'HH Rev Data Input'!H107</f>
        <v>0</v>
      </c>
      <c r="J46" s="117">
        <f>'HH Rev Data Input'!I107</f>
        <v>0</v>
      </c>
      <c r="K46" s="117">
        <f>'HH Rev Data Input'!J107</f>
        <v>0</v>
      </c>
      <c r="L46" s="117">
        <f>'HH Rev Data Input'!K107</f>
        <v>0</v>
      </c>
      <c r="M46" s="117">
        <f>'HH Rev Data Input'!L107</f>
        <v>0</v>
      </c>
      <c r="N46" s="173">
        <f>'HH Rev Data Input'!M107</f>
        <v>0</v>
      </c>
      <c r="P46" s="191"/>
    </row>
    <row r="47" spans="2:16" x14ac:dyDescent="0.3">
      <c r="B47" s="116" t="s">
        <v>224</v>
      </c>
      <c r="C47" s="62">
        <f>'HH Rev Data Input'!B111</f>
        <v>0</v>
      </c>
      <c r="D47" s="62">
        <f>'HH Rev Data Input'!C111</f>
        <v>0</v>
      </c>
      <c r="E47" s="62">
        <f>'HH Rev Data Input'!D111</f>
        <v>0</v>
      </c>
      <c r="F47" s="62">
        <f>'HH Rev Data Input'!E111</f>
        <v>0</v>
      </c>
      <c r="G47" s="62">
        <f>'HH Rev Data Input'!F111</f>
        <v>0</v>
      </c>
      <c r="H47" s="62">
        <f>'HH Rev Data Input'!G111</f>
        <v>0</v>
      </c>
      <c r="I47" s="62">
        <f>'HH Rev Data Input'!H111</f>
        <v>0</v>
      </c>
      <c r="J47" s="62">
        <f>'HH Rev Data Input'!I111</f>
        <v>0</v>
      </c>
      <c r="K47" s="62">
        <f>'HH Rev Data Input'!J111</f>
        <v>0</v>
      </c>
      <c r="L47" s="62">
        <f>'HH Rev Data Input'!K111</f>
        <v>0</v>
      </c>
      <c r="M47" s="62">
        <f>'HH Rev Data Input'!L111</f>
        <v>0</v>
      </c>
      <c r="N47" s="179">
        <f>'HH Rev Data Input'!M111</f>
        <v>0</v>
      </c>
      <c r="P47" s="191"/>
    </row>
    <row r="48" spans="2:16" x14ac:dyDescent="0.3">
      <c r="B48" s="81" t="s">
        <v>277</v>
      </c>
      <c r="C48" s="118">
        <f>'HH Rev Data Input'!B115</f>
        <v>0</v>
      </c>
      <c r="D48" s="118">
        <f>'HH Rev Data Input'!C115</f>
        <v>0</v>
      </c>
      <c r="E48" s="118">
        <f>'HH Rev Data Input'!D115</f>
        <v>0</v>
      </c>
      <c r="F48" s="118">
        <f>'HH Rev Data Input'!E115</f>
        <v>0</v>
      </c>
      <c r="G48" s="118">
        <f>'HH Rev Data Input'!F115</f>
        <v>0</v>
      </c>
      <c r="H48" s="118">
        <f>'HH Rev Data Input'!G115</f>
        <v>0</v>
      </c>
      <c r="I48" s="118">
        <f>'HH Rev Data Input'!H115</f>
        <v>0</v>
      </c>
      <c r="J48" s="118">
        <f>'HH Rev Data Input'!I115</f>
        <v>0</v>
      </c>
      <c r="K48" s="118">
        <f>'HH Rev Data Input'!J115</f>
        <v>0</v>
      </c>
      <c r="L48" s="118">
        <f>'HH Rev Data Input'!K115</f>
        <v>0</v>
      </c>
      <c r="M48" s="118">
        <f>'HH Rev Data Input'!L115</f>
        <v>0</v>
      </c>
      <c r="N48" s="177">
        <f>'HH Rev Data Input'!M115</f>
        <v>0</v>
      </c>
      <c r="P48" s="191"/>
    </row>
    <row r="49" spans="2:16" x14ac:dyDescent="0.3">
      <c r="B49" s="81" t="s">
        <v>278</v>
      </c>
      <c r="C49" s="118">
        <f>'HH Rev Data Input'!B116</f>
        <v>0</v>
      </c>
      <c r="D49" s="118">
        <f>'HH Rev Data Input'!C116</f>
        <v>0</v>
      </c>
      <c r="E49" s="118">
        <f>'HH Rev Data Input'!D116</f>
        <v>0</v>
      </c>
      <c r="F49" s="118">
        <f>'HH Rev Data Input'!E116</f>
        <v>0</v>
      </c>
      <c r="G49" s="118">
        <f>'HH Rev Data Input'!F116</f>
        <v>0</v>
      </c>
      <c r="H49" s="118">
        <f>'HH Rev Data Input'!G116</f>
        <v>0</v>
      </c>
      <c r="I49" s="118">
        <f>'HH Rev Data Input'!H116</f>
        <v>0</v>
      </c>
      <c r="J49" s="118">
        <f>'HH Rev Data Input'!I116</f>
        <v>0</v>
      </c>
      <c r="K49" s="118">
        <f>'HH Rev Data Input'!J116</f>
        <v>0</v>
      </c>
      <c r="L49" s="118">
        <f>'HH Rev Data Input'!K116</f>
        <v>0</v>
      </c>
      <c r="M49" s="118">
        <f>'HH Rev Data Input'!L116</f>
        <v>0</v>
      </c>
      <c r="N49" s="177">
        <f>'HH Rev Data Input'!M116</f>
        <v>0</v>
      </c>
      <c r="P49" s="191"/>
    </row>
    <row r="50" spans="2:16" x14ac:dyDescent="0.3">
      <c r="B50" s="81" t="s">
        <v>279</v>
      </c>
      <c r="C50" s="118">
        <f>'HH Rev Data Input'!B117</f>
        <v>0</v>
      </c>
      <c r="D50" s="118">
        <f>'HH Rev Data Input'!C117</f>
        <v>0</v>
      </c>
      <c r="E50" s="118">
        <f>'HH Rev Data Input'!D117</f>
        <v>0</v>
      </c>
      <c r="F50" s="118">
        <f>'HH Rev Data Input'!E117</f>
        <v>0</v>
      </c>
      <c r="G50" s="118">
        <f>'HH Rev Data Input'!F117</f>
        <v>0</v>
      </c>
      <c r="H50" s="118">
        <f>'HH Rev Data Input'!G117</f>
        <v>0</v>
      </c>
      <c r="I50" s="118">
        <f>'HH Rev Data Input'!H117</f>
        <v>0</v>
      </c>
      <c r="J50" s="118">
        <f>'HH Rev Data Input'!I117</f>
        <v>0</v>
      </c>
      <c r="K50" s="118">
        <f>'HH Rev Data Input'!J117</f>
        <v>0</v>
      </c>
      <c r="L50" s="118">
        <f>'HH Rev Data Input'!K117</f>
        <v>0</v>
      </c>
      <c r="M50" s="118">
        <f>'HH Rev Data Input'!L117</f>
        <v>0</v>
      </c>
      <c r="N50" s="177">
        <f>'HH Rev Data Input'!M117</f>
        <v>0</v>
      </c>
      <c r="P50" s="191"/>
    </row>
    <row r="51" spans="2:16" x14ac:dyDescent="0.3">
      <c r="B51" s="81" t="s">
        <v>276</v>
      </c>
      <c r="C51" s="118">
        <f>'HH Rev Data Input'!B118</f>
        <v>0</v>
      </c>
      <c r="D51" s="118">
        <f>'HH Rev Data Input'!C118</f>
        <v>0</v>
      </c>
      <c r="E51" s="118">
        <f>'HH Rev Data Input'!D118</f>
        <v>0</v>
      </c>
      <c r="F51" s="118">
        <f>'HH Rev Data Input'!E118</f>
        <v>0</v>
      </c>
      <c r="G51" s="118">
        <f>'HH Rev Data Input'!F118</f>
        <v>0</v>
      </c>
      <c r="H51" s="118">
        <f>'HH Rev Data Input'!G118</f>
        <v>0</v>
      </c>
      <c r="I51" s="118">
        <f>'HH Rev Data Input'!H118</f>
        <v>0</v>
      </c>
      <c r="J51" s="118">
        <f>'HH Rev Data Input'!I118</f>
        <v>0</v>
      </c>
      <c r="K51" s="118">
        <f>'HH Rev Data Input'!J118</f>
        <v>0</v>
      </c>
      <c r="L51" s="118">
        <f>'HH Rev Data Input'!K118</f>
        <v>0</v>
      </c>
      <c r="M51" s="118">
        <f>'HH Rev Data Input'!L118</f>
        <v>0</v>
      </c>
      <c r="N51" s="177">
        <f>'HH Rev Data Input'!M118</f>
        <v>0</v>
      </c>
      <c r="P51" s="191"/>
    </row>
    <row r="52" spans="2:16" x14ac:dyDescent="0.3">
      <c r="B52" s="81" t="s">
        <v>296</v>
      </c>
      <c r="C52" s="122">
        <f>'HH Rev Data Input'!B122</f>
        <v>0</v>
      </c>
      <c r="D52" s="122">
        <f>'HH Rev Data Input'!C122</f>
        <v>0</v>
      </c>
      <c r="E52" s="122">
        <f>'HH Rev Data Input'!D122</f>
        <v>0</v>
      </c>
      <c r="F52" s="122">
        <f>'HH Rev Data Input'!E122</f>
        <v>0</v>
      </c>
      <c r="G52" s="122">
        <f>'HH Rev Data Input'!F122</f>
        <v>0</v>
      </c>
      <c r="H52" s="122">
        <f>'HH Rev Data Input'!G122</f>
        <v>0</v>
      </c>
      <c r="I52" s="122">
        <f>'HH Rev Data Input'!H122</f>
        <v>0</v>
      </c>
      <c r="J52" s="122">
        <f>'HH Rev Data Input'!I122</f>
        <v>0</v>
      </c>
      <c r="K52" s="122">
        <f>'HH Rev Data Input'!J122</f>
        <v>0</v>
      </c>
      <c r="L52" s="122">
        <f>'HH Rev Data Input'!K122</f>
        <v>0</v>
      </c>
      <c r="M52" s="122">
        <f>'HH Rev Data Input'!L122</f>
        <v>0</v>
      </c>
      <c r="N52" s="125">
        <f>'HH Rev Data Input'!M122</f>
        <v>0</v>
      </c>
      <c r="P52" s="191"/>
    </row>
    <row r="53" spans="2:16" x14ac:dyDescent="0.3">
      <c r="B53" s="81" t="s">
        <v>297</v>
      </c>
      <c r="C53" s="122">
        <f>'HH Rev Data Input'!B123</f>
        <v>0</v>
      </c>
      <c r="D53" s="122">
        <f>'HH Rev Data Input'!C123</f>
        <v>0</v>
      </c>
      <c r="E53" s="122">
        <f>'HH Rev Data Input'!D123</f>
        <v>0</v>
      </c>
      <c r="F53" s="122">
        <f>'HH Rev Data Input'!E123</f>
        <v>0</v>
      </c>
      <c r="G53" s="122">
        <f>'HH Rev Data Input'!F123</f>
        <v>0</v>
      </c>
      <c r="H53" s="122">
        <f>'HH Rev Data Input'!G123</f>
        <v>0</v>
      </c>
      <c r="I53" s="122">
        <f>'HH Rev Data Input'!H123</f>
        <v>0</v>
      </c>
      <c r="J53" s="122">
        <f>'HH Rev Data Input'!I123</f>
        <v>0</v>
      </c>
      <c r="K53" s="122">
        <f>'HH Rev Data Input'!J123</f>
        <v>0</v>
      </c>
      <c r="L53" s="122">
        <f>'HH Rev Data Input'!K123</f>
        <v>0</v>
      </c>
      <c r="M53" s="122">
        <f>'HH Rev Data Input'!L123</f>
        <v>0</v>
      </c>
      <c r="N53" s="125">
        <f>'HH Rev Data Input'!M123</f>
        <v>0</v>
      </c>
      <c r="P53" s="191"/>
    </row>
    <row r="54" spans="2:16" x14ac:dyDescent="0.3">
      <c r="B54" s="81" t="s">
        <v>298</v>
      </c>
      <c r="C54" s="122">
        <f>'HH Rev Data Input'!B124</f>
        <v>0</v>
      </c>
      <c r="D54" s="122">
        <f>'HH Rev Data Input'!C124</f>
        <v>0</v>
      </c>
      <c r="E54" s="122">
        <f>'HH Rev Data Input'!D124</f>
        <v>0</v>
      </c>
      <c r="F54" s="122">
        <f>'HH Rev Data Input'!E124</f>
        <v>0</v>
      </c>
      <c r="G54" s="122">
        <f>'HH Rev Data Input'!F124</f>
        <v>0</v>
      </c>
      <c r="H54" s="122">
        <f>'HH Rev Data Input'!G124</f>
        <v>0</v>
      </c>
      <c r="I54" s="122">
        <f>'HH Rev Data Input'!H124</f>
        <v>0</v>
      </c>
      <c r="J54" s="122">
        <f>'HH Rev Data Input'!I124</f>
        <v>0</v>
      </c>
      <c r="K54" s="122">
        <f>'HH Rev Data Input'!J124</f>
        <v>0</v>
      </c>
      <c r="L54" s="122">
        <f>'HH Rev Data Input'!K124</f>
        <v>0</v>
      </c>
      <c r="M54" s="122">
        <f>'HH Rev Data Input'!L124</f>
        <v>0</v>
      </c>
      <c r="N54" s="125">
        <f>'HH Rev Data Input'!M124</f>
        <v>0</v>
      </c>
      <c r="P54" s="191"/>
    </row>
    <row r="55" spans="2:16" x14ac:dyDescent="0.3">
      <c r="B55" s="81" t="s">
        <v>280</v>
      </c>
      <c r="C55" s="62">
        <f>'HH Rev Data Input'!B128</f>
        <v>0</v>
      </c>
      <c r="D55" s="62">
        <f>'HH Rev Data Input'!C128</f>
        <v>0</v>
      </c>
      <c r="E55" s="62">
        <f>'HH Rev Data Input'!D128</f>
        <v>0</v>
      </c>
      <c r="F55" s="62">
        <f>'HH Rev Data Input'!E128</f>
        <v>0</v>
      </c>
      <c r="G55" s="62">
        <f>'HH Rev Data Input'!F128</f>
        <v>0</v>
      </c>
      <c r="H55" s="62">
        <f>'HH Rev Data Input'!G128</f>
        <v>0</v>
      </c>
      <c r="I55" s="62">
        <f>'HH Rev Data Input'!H128</f>
        <v>0</v>
      </c>
      <c r="J55" s="62">
        <f>'HH Rev Data Input'!I128</f>
        <v>0</v>
      </c>
      <c r="K55" s="62">
        <f>'HH Rev Data Input'!J128</f>
        <v>0</v>
      </c>
      <c r="L55" s="62">
        <f>'HH Rev Data Input'!K128</f>
        <v>0</v>
      </c>
      <c r="M55" s="62">
        <f>'HH Rev Data Input'!L128</f>
        <v>0</v>
      </c>
      <c r="N55" s="179">
        <f>'HH Rev Data Input'!M128</f>
        <v>0</v>
      </c>
      <c r="P55" s="191"/>
    </row>
    <row r="56" spans="2:16" x14ac:dyDescent="0.3">
      <c r="B56" s="81" t="s">
        <v>281</v>
      </c>
      <c r="C56" s="62">
        <f>'HH Rev Data Input'!B129</f>
        <v>0</v>
      </c>
      <c r="D56" s="62">
        <f>'HH Rev Data Input'!C129</f>
        <v>0</v>
      </c>
      <c r="E56" s="62">
        <f>'HH Rev Data Input'!D129</f>
        <v>0</v>
      </c>
      <c r="F56" s="62">
        <f>'HH Rev Data Input'!E129</f>
        <v>0</v>
      </c>
      <c r="G56" s="62">
        <f>'HH Rev Data Input'!F129</f>
        <v>0</v>
      </c>
      <c r="H56" s="62">
        <f>'HH Rev Data Input'!G129</f>
        <v>0</v>
      </c>
      <c r="I56" s="62">
        <f>'HH Rev Data Input'!H129</f>
        <v>0</v>
      </c>
      <c r="J56" s="62">
        <f>'HH Rev Data Input'!I129</f>
        <v>0</v>
      </c>
      <c r="K56" s="62">
        <f>'HH Rev Data Input'!J129</f>
        <v>0</v>
      </c>
      <c r="L56" s="62">
        <f>'HH Rev Data Input'!K129</f>
        <v>0</v>
      </c>
      <c r="M56" s="62">
        <f>'HH Rev Data Input'!L129</f>
        <v>0</v>
      </c>
      <c r="N56" s="179">
        <f>'HH Rev Data Input'!M129</f>
        <v>0</v>
      </c>
      <c r="P56" s="191"/>
    </row>
    <row r="57" spans="2:16" x14ac:dyDescent="0.3">
      <c r="B57" s="81" t="s">
        <v>282</v>
      </c>
      <c r="C57" s="62">
        <f>'HH Rev Data Input'!B130</f>
        <v>0</v>
      </c>
      <c r="D57" s="62">
        <f>'HH Rev Data Input'!C130</f>
        <v>0</v>
      </c>
      <c r="E57" s="62">
        <f>'HH Rev Data Input'!D130</f>
        <v>0</v>
      </c>
      <c r="F57" s="62">
        <f>'HH Rev Data Input'!E130</f>
        <v>0</v>
      </c>
      <c r="G57" s="62">
        <f>'HH Rev Data Input'!F130</f>
        <v>0</v>
      </c>
      <c r="H57" s="62">
        <f>'HH Rev Data Input'!G130</f>
        <v>0</v>
      </c>
      <c r="I57" s="62">
        <f>'HH Rev Data Input'!H130</f>
        <v>0</v>
      </c>
      <c r="J57" s="62">
        <f>'HH Rev Data Input'!I130</f>
        <v>0</v>
      </c>
      <c r="K57" s="62">
        <f>'HH Rev Data Input'!J130</f>
        <v>0</v>
      </c>
      <c r="L57" s="62">
        <f>'HH Rev Data Input'!K130</f>
        <v>0</v>
      </c>
      <c r="M57" s="62">
        <f>'HH Rev Data Input'!L130</f>
        <v>0</v>
      </c>
      <c r="N57" s="179">
        <f>'HH Rev Data Input'!M130</f>
        <v>0</v>
      </c>
      <c r="P57" s="191"/>
    </row>
    <row r="58" spans="2:16" x14ac:dyDescent="0.3">
      <c r="B58" s="81" t="s">
        <v>283</v>
      </c>
      <c r="C58" s="117">
        <f>'HH Rev Data Input'!B134</f>
        <v>0</v>
      </c>
      <c r="D58" s="117">
        <f>'HH Rev Data Input'!C134</f>
        <v>0</v>
      </c>
      <c r="E58" s="117">
        <f>'HH Rev Data Input'!D134</f>
        <v>0</v>
      </c>
      <c r="F58" s="117">
        <f>'HH Rev Data Input'!E134</f>
        <v>0</v>
      </c>
      <c r="G58" s="117">
        <f>'HH Rev Data Input'!F134</f>
        <v>0</v>
      </c>
      <c r="H58" s="117">
        <f>'HH Rev Data Input'!G134</f>
        <v>0</v>
      </c>
      <c r="I58" s="117">
        <f>'HH Rev Data Input'!H134</f>
        <v>0</v>
      </c>
      <c r="J58" s="117">
        <f>'HH Rev Data Input'!I134</f>
        <v>0</v>
      </c>
      <c r="K58" s="117">
        <f>'HH Rev Data Input'!J134</f>
        <v>0</v>
      </c>
      <c r="L58" s="117">
        <f>'HH Rev Data Input'!K134</f>
        <v>0</v>
      </c>
      <c r="M58" s="117">
        <f>'HH Rev Data Input'!L134</f>
        <v>0</v>
      </c>
      <c r="N58" s="173">
        <f>'HH Rev Data Input'!M134</f>
        <v>0</v>
      </c>
      <c r="P58" s="191"/>
    </row>
    <row r="59" spans="2:16" ht="15.75" thickBot="1" x14ac:dyDescent="0.35">
      <c r="B59" s="82" t="s">
        <v>284</v>
      </c>
      <c r="C59" s="180">
        <f>'HH Rev Data Input'!B135</f>
        <v>0</v>
      </c>
      <c r="D59" s="180">
        <f>'HH Rev Data Input'!C135</f>
        <v>0</v>
      </c>
      <c r="E59" s="180">
        <f>'HH Rev Data Input'!D135</f>
        <v>0</v>
      </c>
      <c r="F59" s="180">
        <f>'HH Rev Data Input'!E135</f>
        <v>0</v>
      </c>
      <c r="G59" s="180">
        <f>'HH Rev Data Input'!F135</f>
        <v>0</v>
      </c>
      <c r="H59" s="180">
        <f>'HH Rev Data Input'!G135</f>
        <v>0</v>
      </c>
      <c r="I59" s="180">
        <f>'HH Rev Data Input'!H135</f>
        <v>0</v>
      </c>
      <c r="J59" s="180">
        <f>'HH Rev Data Input'!I135</f>
        <v>0</v>
      </c>
      <c r="K59" s="180">
        <f>'HH Rev Data Input'!J135</f>
        <v>0</v>
      </c>
      <c r="L59" s="180">
        <f>'HH Rev Data Input'!K135</f>
        <v>0</v>
      </c>
      <c r="M59" s="180">
        <f>'HH Rev Data Input'!L135</f>
        <v>0</v>
      </c>
      <c r="N59" s="181">
        <f>'HH Rev Data Input'!M135</f>
        <v>0</v>
      </c>
      <c r="P59" s="191"/>
    </row>
  </sheetData>
  <sheetProtection algorithmName="SHA-512" hashValue="u2jvfYZOXN9CsjQP+j6ltypXVCgLT52tBk8vARuMjBBkTHqP5rYNpypkFeQA34yjqjRZL6WA5xaWnJFSC61UbA==" saltValue="BrJAqE7/G/d827V6MtChC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57069-C9DB-4D58-8B0F-C37F33439012}">
  <sheetPr>
    <tabColor theme="9" tint="0.79998168889431442"/>
  </sheetPr>
  <dimension ref="A1:P44"/>
  <sheetViews>
    <sheetView workbookViewId="0">
      <pane xSplit="2" ySplit="8" topLeftCell="C9" activePane="bottomRight" state="frozen"/>
      <selection pane="topRight" activeCell="C1" sqref="C1"/>
      <selection pane="bottomLeft" activeCell="A9" sqref="A9"/>
      <selection pane="bottomRight" activeCell="C9" sqref="C9"/>
    </sheetView>
  </sheetViews>
  <sheetFormatPr defaultColWidth="9.140625" defaultRowHeight="15" x14ac:dyDescent="0.3"/>
  <cols>
    <col min="1" max="1" width="9.140625" style="22"/>
    <col min="2" max="2" width="36.140625" style="22" bestFit="1" customWidth="1"/>
    <col min="3" max="14" width="10.7109375" style="41" customWidth="1"/>
    <col min="15" max="15" width="9.140625" style="22"/>
    <col min="16" max="16" width="50.7109375" style="41" customWidth="1"/>
    <col min="17" max="16384" width="9.140625" style="22"/>
  </cols>
  <sheetData>
    <row r="1" spans="1:16" ht="15.75" thickBot="1" x14ac:dyDescent="0.35"/>
    <row r="2" spans="1:16" ht="15.75" thickBot="1" x14ac:dyDescent="0.35">
      <c r="B2" s="91" t="s">
        <v>192</v>
      </c>
      <c r="C2" s="84">
        <v>43831</v>
      </c>
      <c r="D2" s="85">
        <v>43862</v>
      </c>
      <c r="E2" s="182">
        <v>43891</v>
      </c>
      <c r="F2" s="85">
        <v>43922</v>
      </c>
      <c r="G2" s="85">
        <v>43952</v>
      </c>
      <c r="H2" s="85">
        <v>43983</v>
      </c>
      <c r="I2" s="85">
        <v>44013</v>
      </c>
      <c r="J2" s="85">
        <v>44044</v>
      </c>
      <c r="K2" s="85">
        <v>44075</v>
      </c>
      <c r="L2" s="85">
        <v>44105</v>
      </c>
      <c r="M2" s="85">
        <v>44136</v>
      </c>
      <c r="N2" s="86">
        <v>44166</v>
      </c>
      <c r="P2" s="194" t="s">
        <v>7</v>
      </c>
    </row>
    <row r="3" spans="1:16" x14ac:dyDescent="0.3">
      <c r="B3" s="90" t="s">
        <v>329</v>
      </c>
      <c r="C3" s="183"/>
      <c r="D3" s="183"/>
      <c r="E3" s="87">
        <f>SUM(E4:E5)</f>
        <v>0</v>
      </c>
      <c r="F3" s="87">
        <f t="shared" ref="F3:N3" si="0">SUM(F4:F5)</f>
        <v>0</v>
      </c>
      <c r="G3" s="87">
        <f t="shared" si="0"/>
        <v>0</v>
      </c>
      <c r="H3" s="87">
        <f t="shared" si="0"/>
        <v>0</v>
      </c>
      <c r="I3" s="87">
        <f t="shared" si="0"/>
        <v>0</v>
      </c>
      <c r="J3" s="87">
        <f t="shared" si="0"/>
        <v>0</v>
      </c>
      <c r="K3" s="87">
        <f t="shared" si="0"/>
        <v>0</v>
      </c>
      <c r="L3" s="87">
        <f t="shared" si="0"/>
        <v>0</v>
      </c>
      <c r="M3" s="87">
        <f t="shared" si="0"/>
        <v>0</v>
      </c>
      <c r="N3" s="168">
        <f t="shared" si="0"/>
        <v>0</v>
      </c>
      <c r="P3" s="195"/>
    </row>
    <row r="4" spans="1:16" x14ac:dyDescent="0.3">
      <c r="B4" s="88" t="s">
        <v>200</v>
      </c>
      <c r="C4" s="184"/>
      <c r="D4" s="184"/>
      <c r="E4" s="89">
        <f>'HO Medicare Rev'!E6</f>
        <v>0</v>
      </c>
      <c r="F4" s="89">
        <f>'HO Medicare Rev'!F6</f>
        <v>0</v>
      </c>
      <c r="G4" s="89">
        <f>'HO Medicare Rev'!G6</f>
        <v>0</v>
      </c>
      <c r="H4" s="89">
        <f>'HO Medicare Rev'!H6</f>
        <v>0</v>
      </c>
      <c r="I4" s="89">
        <f>'HO Medicare Rev'!I6</f>
        <v>0</v>
      </c>
      <c r="J4" s="89">
        <f>'HO Medicare Rev'!J6</f>
        <v>0</v>
      </c>
      <c r="K4" s="89">
        <f>'HO Medicare Rev'!K6</f>
        <v>0</v>
      </c>
      <c r="L4" s="89">
        <f>'HO Medicare Rev'!L6</f>
        <v>0</v>
      </c>
      <c r="M4" s="89">
        <f>'HO Medicare Rev'!M6</f>
        <v>0</v>
      </c>
      <c r="N4" s="169">
        <f>'HO Medicare Rev'!N6</f>
        <v>0</v>
      </c>
      <c r="P4" s="195"/>
    </row>
    <row r="5" spans="1:16" x14ac:dyDescent="0.3">
      <c r="B5" s="88" t="s">
        <v>201</v>
      </c>
      <c r="C5" s="184"/>
      <c r="D5" s="184"/>
      <c r="E5" s="89">
        <f>'HO Non-Medicare Rev'!E5</f>
        <v>0</v>
      </c>
      <c r="F5" s="89">
        <f>'HO Non-Medicare Rev'!F5</f>
        <v>0</v>
      </c>
      <c r="G5" s="89">
        <f>'HO Non-Medicare Rev'!G5</f>
        <v>0</v>
      </c>
      <c r="H5" s="89">
        <f>'HO Non-Medicare Rev'!H5</f>
        <v>0</v>
      </c>
      <c r="I5" s="89">
        <f>'HO Non-Medicare Rev'!I5</f>
        <v>0</v>
      </c>
      <c r="J5" s="89">
        <f>'HO Non-Medicare Rev'!J5</f>
        <v>0</v>
      </c>
      <c r="K5" s="89">
        <f>'HO Non-Medicare Rev'!K5</f>
        <v>0</v>
      </c>
      <c r="L5" s="89">
        <f>'HO Non-Medicare Rev'!L5</f>
        <v>0</v>
      </c>
      <c r="M5" s="89">
        <f>'HO Non-Medicare Rev'!M5</f>
        <v>0</v>
      </c>
      <c r="N5" s="169">
        <f>'HO Non-Medicare Rev'!N5</f>
        <v>0</v>
      </c>
      <c r="P5" s="195"/>
    </row>
    <row r="6" spans="1:16" ht="15.75" thickBot="1" x14ac:dyDescent="0.35">
      <c r="B6" s="166" t="s">
        <v>195</v>
      </c>
      <c r="C6" s="167">
        <f>'HO Cost Summary'!B95</f>
        <v>0</v>
      </c>
      <c r="D6" s="167">
        <f>'HO Cost Summary'!C95</f>
        <v>0</v>
      </c>
      <c r="E6" s="167">
        <f>'HO Cost Summary'!D95</f>
        <v>0</v>
      </c>
      <c r="F6" s="167">
        <f>'HO Cost Summary'!E95</f>
        <v>0</v>
      </c>
      <c r="G6" s="167">
        <f>'HO Cost Summary'!F95</f>
        <v>0</v>
      </c>
      <c r="H6" s="167">
        <f>'HO Cost Summary'!G95</f>
        <v>0</v>
      </c>
      <c r="I6" s="167">
        <f>'HO Cost Summary'!H95</f>
        <v>0</v>
      </c>
      <c r="J6" s="167">
        <f>'HO Cost Summary'!I95</f>
        <v>0</v>
      </c>
      <c r="K6" s="167">
        <f>'HO Cost Summary'!J95</f>
        <v>0</v>
      </c>
      <c r="L6" s="167">
        <f>'HO Cost Summary'!K95</f>
        <v>0</v>
      </c>
      <c r="M6" s="167">
        <f>'HO Cost Summary'!L95</f>
        <v>0</v>
      </c>
      <c r="N6" s="170">
        <f>'HO Cost Summary'!M95</f>
        <v>0</v>
      </c>
      <c r="P6" s="196"/>
    </row>
    <row r="7" spans="1:16" ht="15.75" thickBot="1" x14ac:dyDescent="0.35">
      <c r="P7" s="197"/>
    </row>
    <row r="8" spans="1:16" ht="15.75" thickBot="1" x14ac:dyDescent="0.35">
      <c r="B8" s="83" t="s">
        <v>199</v>
      </c>
      <c r="C8" s="84">
        <v>43831</v>
      </c>
      <c r="D8" s="85">
        <v>43862</v>
      </c>
      <c r="E8" s="182">
        <v>43891</v>
      </c>
      <c r="F8" s="85">
        <v>43922</v>
      </c>
      <c r="G8" s="85">
        <v>43952</v>
      </c>
      <c r="H8" s="85">
        <v>43983</v>
      </c>
      <c r="I8" s="85">
        <v>44013</v>
      </c>
      <c r="J8" s="85">
        <v>44044</v>
      </c>
      <c r="K8" s="85">
        <v>44075</v>
      </c>
      <c r="L8" s="85">
        <v>44105</v>
      </c>
      <c r="M8" s="85">
        <v>44136</v>
      </c>
      <c r="N8" s="86">
        <v>44166</v>
      </c>
      <c r="P8" s="194" t="s">
        <v>7</v>
      </c>
    </row>
    <row r="9" spans="1:16" x14ac:dyDescent="0.3">
      <c r="B9" s="119" t="s">
        <v>163</v>
      </c>
      <c r="C9" s="115">
        <f>'HO Rev Data Input'!B15</f>
        <v>0</v>
      </c>
      <c r="D9" s="115">
        <f>'HO Rev Data Input'!C15</f>
        <v>0</v>
      </c>
      <c r="E9" s="115">
        <f>'HO Rev Data Input'!D15</f>
        <v>0</v>
      </c>
      <c r="F9" s="115">
        <f>'HO Rev Data Input'!E15</f>
        <v>0</v>
      </c>
      <c r="G9" s="115">
        <f>'HO Rev Data Input'!F15</f>
        <v>0</v>
      </c>
      <c r="H9" s="115">
        <f>'HO Rev Data Input'!G15</f>
        <v>0</v>
      </c>
      <c r="I9" s="115">
        <f>'HO Rev Data Input'!H15</f>
        <v>0</v>
      </c>
      <c r="J9" s="115">
        <f>'HO Rev Data Input'!I15</f>
        <v>0</v>
      </c>
      <c r="K9" s="115">
        <f>'HO Rev Data Input'!J15</f>
        <v>0</v>
      </c>
      <c r="L9" s="115">
        <f>'HO Rev Data Input'!K15</f>
        <v>0</v>
      </c>
      <c r="M9" s="115">
        <f>'HO Rev Data Input'!L15</f>
        <v>0</v>
      </c>
      <c r="N9" s="176">
        <f>'HO Rev Data Input'!M15</f>
        <v>0</v>
      </c>
      <c r="P9" s="195"/>
    </row>
    <row r="10" spans="1:16" x14ac:dyDescent="0.3">
      <c r="A10" s="120"/>
      <c r="B10" s="121" t="s">
        <v>165</v>
      </c>
      <c r="C10" s="123">
        <f>'HO Rev Data Input'!B19</f>
        <v>0</v>
      </c>
      <c r="D10" s="62">
        <f>'HO Rev Data Input'!C19</f>
        <v>0</v>
      </c>
      <c r="E10" s="62">
        <f>'HO Rev Data Input'!D19</f>
        <v>0</v>
      </c>
      <c r="F10" s="62">
        <f>'HO Rev Data Input'!E19</f>
        <v>0</v>
      </c>
      <c r="G10" s="62">
        <f>'HO Rev Data Input'!F19</f>
        <v>0</v>
      </c>
      <c r="H10" s="62">
        <f>'HO Rev Data Input'!G19</f>
        <v>0</v>
      </c>
      <c r="I10" s="62">
        <f>'HO Rev Data Input'!H19</f>
        <v>0</v>
      </c>
      <c r="J10" s="62">
        <f>'HO Rev Data Input'!I19</f>
        <v>0</v>
      </c>
      <c r="K10" s="62">
        <f>'HO Rev Data Input'!J19</f>
        <v>0</v>
      </c>
      <c r="L10" s="62">
        <f>'HO Rev Data Input'!K19</f>
        <v>0</v>
      </c>
      <c r="M10" s="62">
        <f>'HO Rev Data Input'!L19</f>
        <v>0</v>
      </c>
      <c r="N10" s="179">
        <f>'HO Rev Data Input'!M19</f>
        <v>0</v>
      </c>
      <c r="P10" s="195"/>
    </row>
    <row r="11" spans="1:16" x14ac:dyDescent="0.3">
      <c r="B11" s="80" t="s">
        <v>196</v>
      </c>
      <c r="C11" s="113">
        <f>SUM('HO Rev Data Input'!B23:B24)</f>
        <v>0</v>
      </c>
      <c r="D11" s="113">
        <f>SUM('HO Rev Data Input'!C23:C24)</f>
        <v>0</v>
      </c>
      <c r="E11" s="113">
        <f>SUM('HO Rev Data Input'!D23:D24)</f>
        <v>0</v>
      </c>
      <c r="F11" s="113">
        <f>SUM('HO Rev Data Input'!E23:E24)</f>
        <v>0</v>
      </c>
      <c r="G11" s="113">
        <f>SUM('HO Rev Data Input'!F23:F24)</f>
        <v>0</v>
      </c>
      <c r="H11" s="113">
        <f>SUM('HO Rev Data Input'!G23:G24)</f>
        <v>0</v>
      </c>
      <c r="I11" s="113">
        <f>SUM('HO Rev Data Input'!H23:H24)</f>
        <v>0</v>
      </c>
      <c r="J11" s="113">
        <f>SUM('HO Rev Data Input'!I23:I24)</f>
        <v>0</v>
      </c>
      <c r="K11" s="113">
        <f>SUM('HO Rev Data Input'!J23:J24)</f>
        <v>0</v>
      </c>
      <c r="L11" s="113">
        <f>SUM('HO Rev Data Input'!K23:K24)</f>
        <v>0</v>
      </c>
      <c r="M11" s="113">
        <f>SUM('HO Rev Data Input'!L23:L24)</f>
        <v>0</v>
      </c>
      <c r="N11" s="174">
        <f>SUM('HO Rev Data Input'!M23:M24)</f>
        <v>0</v>
      </c>
      <c r="P11" s="195"/>
    </row>
    <row r="12" spans="1:16" x14ac:dyDescent="0.3">
      <c r="B12" s="80" t="s">
        <v>197</v>
      </c>
      <c r="C12" s="113">
        <f>SUM('HO Rev Data Input'!B28:B29)</f>
        <v>0</v>
      </c>
      <c r="D12" s="113">
        <f>SUM('HO Rev Data Input'!C28:C29)</f>
        <v>0</v>
      </c>
      <c r="E12" s="113">
        <f>SUM('HO Rev Data Input'!D28:D29)</f>
        <v>0</v>
      </c>
      <c r="F12" s="113">
        <f>SUM('HO Rev Data Input'!E28:E29)</f>
        <v>0</v>
      </c>
      <c r="G12" s="113">
        <f>SUM('HO Rev Data Input'!F28:F29)</f>
        <v>0</v>
      </c>
      <c r="H12" s="113">
        <f>SUM('HO Rev Data Input'!G28:G29)</f>
        <v>0</v>
      </c>
      <c r="I12" s="113">
        <f>SUM('HO Rev Data Input'!H28:H29)</f>
        <v>0</v>
      </c>
      <c r="J12" s="113">
        <f>SUM('HO Rev Data Input'!I28:I29)</f>
        <v>0</v>
      </c>
      <c r="K12" s="113">
        <f>SUM('HO Rev Data Input'!J28:J29)</f>
        <v>0</v>
      </c>
      <c r="L12" s="113">
        <f>SUM('HO Rev Data Input'!K28:K29)</f>
        <v>0</v>
      </c>
      <c r="M12" s="113">
        <f>SUM('HO Rev Data Input'!L28:L29)</f>
        <v>0</v>
      </c>
      <c r="N12" s="174">
        <f>SUM('HO Rev Data Input'!M28:M29)</f>
        <v>0</v>
      </c>
      <c r="P12" s="195"/>
    </row>
    <row r="13" spans="1:16" x14ac:dyDescent="0.3">
      <c r="B13" s="81" t="s">
        <v>202</v>
      </c>
      <c r="C13" s="118">
        <f>SUM('HO Rev Data Input'!B33:B34)</f>
        <v>0</v>
      </c>
      <c r="D13" s="118">
        <f>SUM('HO Rev Data Input'!C33:C34)</f>
        <v>0</v>
      </c>
      <c r="E13" s="118">
        <f>SUM('HO Rev Data Input'!D33:D34)</f>
        <v>0</v>
      </c>
      <c r="F13" s="118">
        <f>SUM('HO Rev Data Input'!E33:E34)</f>
        <v>0</v>
      </c>
      <c r="G13" s="118">
        <f>SUM('HO Rev Data Input'!F33:F34)</f>
        <v>0</v>
      </c>
      <c r="H13" s="118">
        <f>SUM('HO Rev Data Input'!G33:G34)</f>
        <v>0</v>
      </c>
      <c r="I13" s="118">
        <f>SUM('HO Rev Data Input'!H33:H34)</f>
        <v>0</v>
      </c>
      <c r="J13" s="118">
        <f>SUM('HO Rev Data Input'!I33:I34)</f>
        <v>0</v>
      </c>
      <c r="K13" s="118">
        <f>SUM('HO Rev Data Input'!J33:J34)</f>
        <v>0</v>
      </c>
      <c r="L13" s="118">
        <f>SUM('HO Rev Data Input'!K33:K34)</f>
        <v>0</v>
      </c>
      <c r="M13" s="118">
        <f>SUM('HO Rev Data Input'!L33:L34)</f>
        <v>0</v>
      </c>
      <c r="N13" s="177">
        <f>SUM('HO Rev Data Input'!M33:M34)</f>
        <v>0</v>
      </c>
      <c r="P13" s="195"/>
    </row>
    <row r="14" spans="1:16" x14ac:dyDescent="0.3">
      <c r="B14" s="81" t="s">
        <v>169</v>
      </c>
      <c r="C14" s="115">
        <f>SUM('HO Rev Data Input'!B38:B39)</f>
        <v>0</v>
      </c>
      <c r="D14" s="115">
        <f>SUM('HO Rev Data Input'!C38:C39)</f>
        <v>0</v>
      </c>
      <c r="E14" s="115">
        <f>SUM('HO Rev Data Input'!D38:D39)</f>
        <v>0</v>
      </c>
      <c r="F14" s="115">
        <f>SUM('HO Rev Data Input'!E38:E39)</f>
        <v>0</v>
      </c>
      <c r="G14" s="115">
        <f>SUM('HO Rev Data Input'!F38:F39)</f>
        <v>0</v>
      </c>
      <c r="H14" s="115">
        <f>SUM('HO Rev Data Input'!G38:G39)</f>
        <v>0</v>
      </c>
      <c r="I14" s="115">
        <f>SUM('HO Rev Data Input'!H38:H39)</f>
        <v>0</v>
      </c>
      <c r="J14" s="115">
        <f>SUM('HO Rev Data Input'!I38:I39)</f>
        <v>0</v>
      </c>
      <c r="K14" s="115">
        <f>SUM('HO Rev Data Input'!J38:J39)</f>
        <v>0</v>
      </c>
      <c r="L14" s="115">
        <f>SUM('HO Rev Data Input'!K38:K39)</f>
        <v>0</v>
      </c>
      <c r="M14" s="115">
        <f>SUM('HO Rev Data Input'!L38:L39)</f>
        <v>0</v>
      </c>
      <c r="N14" s="176">
        <f>SUM('HO Rev Data Input'!M38:M39)</f>
        <v>0</v>
      </c>
      <c r="P14" s="195"/>
    </row>
    <row r="15" spans="1:16" x14ac:dyDescent="0.3">
      <c r="B15" s="81" t="s">
        <v>253</v>
      </c>
      <c r="C15" s="118">
        <f>'HO Rev Data Input'!B43</f>
        <v>0</v>
      </c>
      <c r="D15" s="118">
        <f>'HO Rev Data Input'!C43</f>
        <v>0</v>
      </c>
      <c r="E15" s="118">
        <f>'HO Rev Data Input'!D43</f>
        <v>0</v>
      </c>
      <c r="F15" s="118">
        <f>'HO Rev Data Input'!E43</f>
        <v>0</v>
      </c>
      <c r="G15" s="118">
        <f>'HO Rev Data Input'!F43</f>
        <v>0</v>
      </c>
      <c r="H15" s="118">
        <f>'HO Rev Data Input'!G43</f>
        <v>0</v>
      </c>
      <c r="I15" s="118">
        <f>'HO Rev Data Input'!H43</f>
        <v>0</v>
      </c>
      <c r="J15" s="118">
        <f>'HO Rev Data Input'!I43</f>
        <v>0</v>
      </c>
      <c r="K15" s="118">
        <f>'HO Rev Data Input'!J43</f>
        <v>0</v>
      </c>
      <c r="L15" s="118">
        <f>'HO Rev Data Input'!K43</f>
        <v>0</v>
      </c>
      <c r="M15" s="118">
        <f>'HO Rev Data Input'!L43</f>
        <v>0</v>
      </c>
      <c r="N15" s="177">
        <f>'HO Rev Data Input'!M43</f>
        <v>0</v>
      </c>
      <c r="P15" s="195"/>
    </row>
    <row r="16" spans="1:16" x14ac:dyDescent="0.3">
      <c r="B16" s="81" t="s">
        <v>299</v>
      </c>
      <c r="C16" s="118">
        <f>'HO Rev Data Input'!B44</f>
        <v>0</v>
      </c>
      <c r="D16" s="118">
        <f>'HO Rev Data Input'!C44</f>
        <v>0</v>
      </c>
      <c r="E16" s="118">
        <f>'HO Rev Data Input'!D44</f>
        <v>0</v>
      </c>
      <c r="F16" s="118">
        <f>'HO Rev Data Input'!E44</f>
        <v>0</v>
      </c>
      <c r="G16" s="118">
        <f>'HO Rev Data Input'!F44</f>
        <v>0</v>
      </c>
      <c r="H16" s="118">
        <f>'HO Rev Data Input'!G44</f>
        <v>0</v>
      </c>
      <c r="I16" s="118">
        <f>'HO Rev Data Input'!H44</f>
        <v>0</v>
      </c>
      <c r="J16" s="118">
        <f>'HO Rev Data Input'!I44</f>
        <v>0</v>
      </c>
      <c r="K16" s="118">
        <f>'HO Rev Data Input'!J44</f>
        <v>0</v>
      </c>
      <c r="L16" s="118">
        <f>'HO Rev Data Input'!K44</f>
        <v>0</v>
      </c>
      <c r="M16" s="118">
        <f>'HO Rev Data Input'!L44</f>
        <v>0</v>
      </c>
      <c r="N16" s="177">
        <f>'HO Rev Data Input'!M44</f>
        <v>0</v>
      </c>
      <c r="P16" s="195"/>
    </row>
    <row r="17" spans="2:16" x14ac:dyDescent="0.3">
      <c r="B17" s="81" t="s">
        <v>203</v>
      </c>
      <c r="C17" s="118">
        <f>SUM('HO Rev Data Input'!B48:B49)</f>
        <v>0</v>
      </c>
      <c r="D17" s="118">
        <f>SUM('HO Rev Data Input'!C48:C49)</f>
        <v>0</v>
      </c>
      <c r="E17" s="118">
        <f>SUM('HO Rev Data Input'!D48:D49)</f>
        <v>0</v>
      </c>
      <c r="F17" s="118">
        <f>SUM('HO Rev Data Input'!E48:E49)</f>
        <v>0</v>
      </c>
      <c r="G17" s="118">
        <f>SUM('HO Rev Data Input'!F48:F49)</f>
        <v>0</v>
      </c>
      <c r="H17" s="118">
        <f>SUM('HO Rev Data Input'!G48:G49)</f>
        <v>0</v>
      </c>
      <c r="I17" s="118">
        <f>SUM('HO Rev Data Input'!H48:H49)</f>
        <v>0</v>
      </c>
      <c r="J17" s="118">
        <f>SUM('HO Rev Data Input'!I48:I49)</f>
        <v>0</v>
      </c>
      <c r="K17" s="118">
        <f>SUM('HO Rev Data Input'!J48:J49)</f>
        <v>0</v>
      </c>
      <c r="L17" s="118">
        <f>SUM('HO Rev Data Input'!K48:K49)</f>
        <v>0</v>
      </c>
      <c r="M17" s="118">
        <f>SUM('HO Rev Data Input'!L48:L49)</f>
        <v>0</v>
      </c>
      <c r="N17" s="177">
        <f>SUM('HO Rev Data Input'!M48:M49)</f>
        <v>0</v>
      </c>
      <c r="P17" s="195"/>
    </row>
    <row r="18" spans="2:16" x14ac:dyDescent="0.3">
      <c r="B18" s="124" t="s">
        <v>300</v>
      </c>
      <c r="C18" s="115">
        <f>'HO Rev Data Input'!B54</f>
        <v>0</v>
      </c>
      <c r="D18" s="115">
        <f>'HO Rev Data Input'!C54</f>
        <v>0</v>
      </c>
      <c r="E18" s="115">
        <f>'HO Rev Data Input'!D54</f>
        <v>0</v>
      </c>
      <c r="F18" s="115">
        <f>'HO Rev Data Input'!E54</f>
        <v>0</v>
      </c>
      <c r="G18" s="115">
        <f>'HO Rev Data Input'!F54</f>
        <v>0</v>
      </c>
      <c r="H18" s="115">
        <f>'HO Rev Data Input'!G54</f>
        <v>0</v>
      </c>
      <c r="I18" s="115">
        <f>'HO Rev Data Input'!H54</f>
        <v>0</v>
      </c>
      <c r="J18" s="115">
        <f>'HO Rev Data Input'!I54</f>
        <v>0</v>
      </c>
      <c r="K18" s="115">
        <f>'HO Rev Data Input'!J54</f>
        <v>0</v>
      </c>
      <c r="L18" s="115">
        <f>'HO Rev Data Input'!K54</f>
        <v>0</v>
      </c>
      <c r="M18" s="115">
        <f>'HO Rev Data Input'!L54</f>
        <v>0</v>
      </c>
      <c r="N18" s="176">
        <f>'HO Rev Data Input'!M54</f>
        <v>0</v>
      </c>
      <c r="P18" s="195"/>
    </row>
    <row r="19" spans="2:16" x14ac:dyDescent="0.3">
      <c r="B19" s="124" t="s">
        <v>301</v>
      </c>
      <c r="C19" s="115">
        <f>'HO Rev Data Input'!B55</f>
        <v>0</v>
      </c>
      <c r="D19" s="115">
        <f>'HO Rev Data Input'!C55</f>
        <v>0</v>
      </c>
      <c r="E19" s="115">
        <f>'HO Rev Data Input'!D55</f>
        <v>0</v>
      </c>
      <c r="F19" s="115">
        <f>'HO Rev Data Input'!E55</f>
        <v>0</v>
      </c>
      <c r="G19" s="115">
        <f>'HO Rev Data Input'!F55</f>
        <v>0</v>
      </c>
      <c r="H19" s="115">
        <f>'HO Rev Data Input'!G55</f>
        <v>0</v>
      </c>
      <c r="I19" s="115">
        <f>'HO Rev Data Input'!H55</f>
        <v>0</v>
      </c>
      <c r="J19" s="115">
        <f>'HO Rev Data Input'!I55</f>
        <v>0</v>
      </c>
      <c r="K19" s="115">
        <f>'HO Rev Data Input'!J55</f>
        <v>0</v>
      </c>
      <c r="L19" s="115">
        <f>'HO Rev Data Input'!K55</f>
        <v>0</v>
      </c>
      <c r="M19" s="115">
        <f>'HO Rev Data Input'!L55</f>
        <v>0</v>
      </c>
      <c r="N19" s="176">
        <f>'HO Rev Data Input'!M55</f>
        <v>0</v>
      </c>
      <c r="P19" s="195"/>
    </row>
    <row r="20" spans="2:16" x14ac:dyDescent="0.3">
      <c r="B20" s="124" t="s">
        <v>302</v>
      </c>
      <c r="C20" s="115">
        <f>'HO Rev Data Input'!B56</f>
        <v>0</v>
      </c>
      <c r="D20" s="115">
        <f>'HO Rev Data Input'!C56</f>
        <v>0</v>
      </c>
      <c r="E20" s="115">
        <f>'HO Rev Data Input'!D56</f>
        <v>0</v>
      </c>
      <c r="F20" s="115">
        <f>'HO Rev Data Input'!E56</f>
        <v>0</v>
      </c>
      <c r="G20" s="115">
        <f>'HO Rev Data Input'!F56</f>
        <v>0</v>
      </c>
      <c r="H20" s="115">
        <f>'HO Rev Data Input'!G56</f>
        <v>0</v>
      </c>
      <c r="I20" s="115">
        <f>'HO Rev Data Input'!H56</f>
        <v>0</v>
      </c>
      <c r="J20" s="115">
        <f>'HO Rev Data Input'!I56</f>
        <v>0</v>
      </c>
      <c r="K20" s="115">
        <f>'HO Rev Data Input'!J56</f>
        <v>0</v>
      </c>
      <c r="L20" s="115">
        <f>'HO Rev Data Input'!K56</f>
        <v>0</v>
      </c>
      <c r="M20" s="115">
        <f>'HO Rev Data Input'!L56</f>
        <v>0</v>
      </c>
      <c r="N20" s="176">
        <f>'HO Rev Data Input'!M56</f>
        <v>0</v>
      </c>
      <c r="P20" s="195"/>
    </row>
    <row r="21" spans="2:16" x14ac:dyDescent="0.3">
      <c r="B21" s="124" t="s">
        <v>303</v>
      </c>
      <c r="C21" s="115">
        <f>'HO Rev Data Input'!B57</f>
        <v>0</v>
      </c>
      <c r="D21" s="115">
        <f>'HO Rev Data Input'!C57</f>
        <v>0</v>
      </c>
      <c r="E21" s="115">
        <f>'HO Rev Data Input'!D57</f>
        <v>0</v>
      </c>
      <c r="F21" s="115">
        <f>'HO Rev Data Input'!E57</f>
        <v>0</v>
      </c>
      <c r="G21" s="115">
        <f>'HO Rev Data Input'!F57</f>
        <v>0</v>
      </c>
      <c r="H21" s="115">
        <f>'HO Rev Data Input'!G57</f>
        <v>0</v>
      </c>
      <c r="I21" s="115">
        <f>'HO Rev Data Input'!H57</f>
        <v>0</v>
      </c>
      <c r="J21" s="115">
        <f>'HO Rev Data Input'!I57</f>
        <v>0</v>
      </c>
      <c r="K21" s="115">
        <f>'HO Rev Data Input'!J57</f>
        <v>0</v>
      </c>
      <c r="L21" s="115">
        <f>'HO Rev Data Input'!K57</f>
        <v>0</v>
      </c>
      <c r="M21" s="115">
        <f>'HO Rev Data Input'!L57</f>
        <v>0</v>
      </c>
      <c r="N21" s="176">
        <f>'HO Rev Data Input'!M57</f>
        <v>0</v>
      </c>
      <c r="P21" s="195"/>
    </row>
    <row r="22" spans="2:16" x14ac:dyDescent="0.3">
      <c r="B22" s="124" t="s">
        <v>304</v>
      </c>
      <c r="C22" s="115">
        <f>'HO Rev Data Input'!B61</f>
        <v>0</v>
      </c>
      <c r="D22" s="115">
        <f>'HO Rev Data Input'!C61</f>
        <v>0</v>
      </c>
      <c r="E22" s="115">
        <f>'HO Rev Data Input'!D61</f>
        <v>0</v>
      </c>
      <c r="F22" s="115">
        <f>'HO Rev Data Input'!E61</f>
        <v>0</v>
      </c>
      <c r="G22" s="115">
        <f>'HO Rev Data Input'!F61</f>
        <v>0</v>
      </c>
      <c r="H22" s="115">
        <f>'HO Rev Data Input'!G61</f>
        <v>0</v>
      </c>
      <c r="I22" s="115">
        <f>'HO Rev Data Input'!H61</f>
        <v>0</v>
      </c>
      <c r="J22" s="115">
        <f>'HO Rev Data Input'!I61</f>
        <v>0</v>
      </c>
      <c r="K22" s="115">
        <f>'HO Rev Data Input'!J61</f>
        <v>0</v>
      </c>
      <c r="L22" s="115">
        <f>'HO Rev Data Input'!K61</f>
        <v>0</v>
      </c>
      <c r="M22" s="115">
        <f>'HO Rev Data Input'!L61</f>
        <v>0</v>
      </c>
      <c r="N22" s="176">
        <f>'HO Rev Data Input'!M61</f>
        <v>0</v>
      </c>
      <c r="P22" s="195"/>
    </row>
    <row r="23" spans="2:16" x14ac:dyDescent="0.3">
      <c r="B23" s="124" t="s">
        <v>305</v>
      </c>
      <c r="C23" s="115">
        <f>'HO Rev Data Input'!B62</f>
        <v>0</v>
      </c>
      <c r="D23" s="115">
        <f>'HO Rev Data Input'!C62</f>
        <v>0</v>
      </c>
      <c r="E23" s="115">
        <f>'HO Rev Data Input'!D62</f>
        <v>0</v>
      </c>
      <c r="F23" s="115">
        <f>'HO Rev Data Input'!E62</f>
        <v>0</v>
      </c>
      <c r="G23" s="115">
        <f>'HO Rev Data Input'!F62</f>
        <v>0</v>
      </c>
      <c r="H23" s="115">
        <f>'HO Rev Data Input'!G62</f>
        <v>0</v>
      </c>
      <c r="I23" s="115">
        <f>'HO Rev Data Input'!H62</f>
        <v>0</v>
      </c>
      <c r="J23" s="115">
        <f>'HO Rev Data Input'!I62</f>
        <v>0</v>
      </c>
      <c r="K23" s="115">
        <f>'HO Rev Data Input'!J62</f>
        <v>0</v>
      </c>
      <c r="L23" s="115">
        <f>'HO Rev Data Input'!K62</f>
        <v>0</v>
      </c>
      <c r="M23" s="115">
        <f>'HO Rev Data Input'!L62</f>
        <v>0</v>
      </c>
      <c r="N23" s="176">
        <f>'HO Rev Data Input'!M62</f>
        <v>0</v>
      </c>
      <c r="P23" s="195"/>
    </row>
    <row r="24" spans="2:16" x14ac:dyDescent="0.3">
      <c r="B24" s="124" t="s">
        <v>306</v>
      </c>
      <c r="C24" s="115">
        <f>'HO Rev Data Input'!B63</f>
        <v>0</v>
      </c>
      <c r="D24" s="115">
        <f>'HO Rev Data Input'!C63</f>
        <v>0</v>
      </c>
      <c r="E24" s="115">
        <f>'HO Rev Data Input'!D63</f>
        <v>0</v>
      </c>
      <c r="F24" s="115">
        <f>'HO Rev Data Input'!E63</f>
        <v>0</v>
      </c>
      <c r="G24" s="115">
        <f>'HO Rev Data Input'!F63</f>
        <v>0</v>
      </c>
      <c r="H24" s="115">
        <f>'HO Rev Data Input'!G63</f>
        <v>0</v>
      </c>
      <c r="I24" s="115">
        <f>'HO Rev Data Input'!H63</f>
        <v>0</v>
      </c>
      <c r="J24" s="115">
        <f>'HO Rev Data Input'!I63</f>
        <v>0</v>
      </c>
      <c r="K24" s="115">
        <f>'HO Rev Data Input'!J63</f>
        <v>0</v>
      </c>
      <c r="L24" s="115">
        <f>'HO Rev Data Input'!K63</f>
        <v>0</v>
      </c>
      <c r="M24" s="115">
        <f>'HO Rev Data Input'!L63</f>
        <v>0</v>
      </c>
      <c r="N24" s="176">
        <f>'HO Rev Data Input'!M63</f>
        <v>0</v>
      </c>
      <c r="P24" s="195"/>
    </row>
    <row r="25" spans="2:16" x14ac:dyDescent="0.3">
      <c r="B25" s="124" t="s">
        <v>307</v>
      </c>
      <c r="C25" s="115">
        <f>'HO Rev Data Input'!B64</f>
        <v>0</v>
      </c>
      <c r="D25" s="115">
        <f>'HO Rev Data Input'!C64</f>
        <v>0</v>
      </c>
      <c r="E25" s="115">
        <f>'HO Rev Data Input'!D64</f>
        <v>0</v>
      </c>
      <c r="F25" s="115">
        <f>'HO Rev Data Input'!E64</f>
        <v>0</v>
      </c>
      <c r="G25" s="115">
        <f>'HO Rev Data Input'!F64</f>
        <v>0</v>
      </c>
      <c r="H25" s="115">
        <f>'HO Rev Data Input'!G64</f>
        <v>0</v>
      </c>
      <c r="I25" s="115">
        <f>'HO Rev Data Input'!H64</f>
        <v>0</v>
      </c>
      <c r="J25" s="115">
        <f>'HO Rev Data Input'!I64</f>
        <v>0</v>
      </c>
      <c r="K25" s="115">
        <f>'HO Rev Data Input'!J64</f>
        <v>0</v>
      </c>
      <c r="L25" s="115">
        <f>'HO Rev Data Input'!K64</f>
        <v>0</v>
      </c>
      <c r="M25" s="115">
        <f>'HO Rev Data Input'!L64</f>
        <v>0</v>
      </c>
      <c r="N25" s="176">
        <f>'HO Rev Data Input'!M64</f>
        <v>0</v>
      </c>
      <c r="P25" s="195"/>
    </row>
    <row r="26" spans="2:16" x14ac:dyDescent="0.3">
      <c r="B26" s="124" t="s">
        <v>308</v>
      </c>
      <c r="C26" s="115">
        <f>'HO Rev Data Input'!B65</f>
        <v>0</v>
      </c>
      <c r="D26" s="115">
        <f>'HO Rev Data Input'!C65</f>
        <v>0</v>
      </c>
      <c r="E26" s="115">
        <f>'HO Rev Data Input'!D65</f>
        <v>0</v>
      </c>
      <c r="F26" s="115">
        <f>'HO Rev Data Input'!E65</f>
        <v>0</v>
      </c>
      <c r="G26" s="115">
        <f>'HO Rev Data Input'!F65</f>
        <v>0</v>
      </c>
      <c r="H26" s="115">
        <f>'HO Rev Data Input'!G65</f>
        <v>0</v>
      </c>
      <c r="I26" s="115">
        <f>'HO Rev Data Input'!H65</f>
        <v>0</v>
      </c>
      <c r="J26" s="115">
        <f>'HO Rev Data Input'!I65</f>
        <v>0</v>
      </c>
      <c r="K26" s="115">
        <f>'HO Rev Data Input'!J65</f>
        <v>0</v>
      </c>
      <c r="L26" s="115">
        <f>'HO Rev Data Input'!K65</f>
        <v>0</v>
      </c>
      <c r="M26" s="115">
        <f>'HO Rev Data Input'!L65</f>
        <v>0</v>
      </c>
      <c r="N26" s="176">
        <f>'HO Rev Data Input'!M65</f>
        <v>0</v>
      </c>
      <c r="P26" s="195"/>
    </row>
    <row r="27" spans="2:16" x14ac:dyDescent="0.3">
      <c r="B27" s="116" t="s">
        <v>309</v>
      </c>
      <c r="C27" s="118">
        <f>'HO Rev Data Input'!B69</f>
        <v>0</v>
      </c>
      <c r="D27" s="118">
        <f>'HO Rev Data Input'!C69</f>
        <v>0</v>
      </c>
      <c r="E27" s="118">
        <f>'HO Rev Data Input'!D69</f>
        <v>0</v>
      </c>
      <c r="F27" s="118">
        <f>'HO Rev Data Input'!E69</f>
        <v>0</v>
      </c>
      <c r="G27" s="118">
        <f>'HO Rev Data Input'!F69</f>
        <v>0</v>
      </c>
      <c r="H27" s="118">
        <f>'HO Rev Data Input'!G69</f>
        <v>0</v>
      </c>
      <c r="I27" s="118">
        <f>'HO Rev Data Input'!H69</f>
        <v>0</v>
      </c>
      <c r="J27" s="118">
        <f>'HO Rev Data Input'!I69</f>
        <v>0</v>
      </c>
      <c r="K27" s="118">
        <f>'HO Rev Data Input'!J69</f>
        <v>0</v>
      </c>
      <c r="L27" s="118">
        <f>'HO Rev Data Input'!K69</f>
        <v>0</v>
      </c>
      <c r="M27" s="118">
        <f>'HO Rev Data Input'!L69</f>
        <v>0</v>
      </c>
      <c r="N27" s="177">
        <f>'HO Rev Data Input'!M69</f>
        <v>0</v>
      </c>
      <c r="P27" s="195"/>
    </row>
    <row r="28" spans="2:16" x14ac:dyDescent="0.3">
      <c r="B28" s="116" t="s">
        <v>310</v>
      </c>
      <c r="C28" s="118">
        <f>'HO Rev Data Input'!B70</f>
        <v>0</v>
      </c>
      <c r="D28" s="118">
        <f>'HO Rev Data Input'!C70</f>
        <v>0</v>
      </c>
      <c r="E28" s="118">
        <f>'HO Rev Data Input'!D70</f>
        <v>0</v>
      </c>
      <c r="F28" s="118">
        <f>'HO Rev Data Input'!E70</f>
        <v>0</v>
      </c>
      <c r="G28" s="118">
        <f>'HO Rev Data Input'!F70</f>
        <v>0</v>
      </c>
      <c r="H28" s="118">
        <f>'HO Rev Data Input'!G70</f>
        <v>0</v>
      </c>
      <c r="I28" s="118">
        <f>'HO Rev Data Input'!H70</f>
        <v>0</v>
      </c>
      <c r="J28" s="118">
        <f>'HO Rev Data Input'!I70</f>
        <v>0</v>
      </c>
      <c r="K28" s="118">
        <f>'HO Rev Data Input'!J70</f>
        <v>0</v>
      </c>
      <c r="L28" s="118">
        <f>'HO Rev Data Input'!K70</f>
        <v>0</v>
      </c>
      <c r="M28" s="118">
        <f>'HO Rev Data Input'!L70</f>
        <v>0</v>
      </c>
      <c r="N28" s="177">
        <f>'HO Rev Data Input'!M70</f>
        <v>0</v>
      </c>
      <c r="P28" s="195"/>
    </row>
    <row r="29" spans="2:16" x14ac:dyDescent="0.3">
      <c r="B29" s="116" t="s">
        <v>311</v>
      </c>
      <c r="C29" s="118">
        <f>'HO Rev Data Input'!B71</f>
        <v>0</v>
      </c>
      <c r="D29" s="118">
        <f>'HO Rev Data Input'!C71</f>
        <v>0</v>
      </c>
      <c r="E29" s="118">
        <f>'HO Rev Data Input'!D71</f>
        <v>0</v>
      </c>
      <c r="F29" s="118">
        <f>'HO Rev Data Input'!E71</f>
        <v>0</v>
      </c>
      <c r="G29" s="118">
        <f>'HO Rev Data Input'!F71</f>
        <v>0</v>
      </c>
      <c r="H29" s="118">
        <f>'HO Rev Data Input'!G71</f>
        <v>0</v>
      </c>
      <c r="I29" s="118">
        <f>'HO Rev Data Input'!H71</f>
        <v>0</v>
      </c>
      <c r="J29" s="118">
        <f>'HO Rev Data Input'!I71</f>
        <v>0</v>
      </c>
      <c r="K29" s="118">
        <f>'HO Rev Data Input'!J71</f>
        <v>0</v>
      </c>
      <c r="L29" s="118">
        <f>'HO Rev Data Input'!K71</f>
        <v>0</v>
      </c>
      <c r="M29" s="118">
        <f>'HO Rev Data Input'!L71</f>
        <v>0</v>
      </c>
      <c r="N29" s="177">
        <f>'HO Rev Data Input'!M71</f>
        <v>0</v>
      </c>
      <c r="P29" s="195"/>
    </row>
    <row r="30" spans="2:16" x14ac:dyDescent="0.3">
      <c r="B30" s="116" t="s">
        <v>258</v>
      </c>
      <c r="C30" s="122">
        <f>'HO Rev Data Input'!B75</f>
        <v>0</v>
      </c>
      <c r="D30" s="122">
        <f>'HO Rev Data Input'!C75</f>
        <v>0</v>
      </c>
      <c r="E30" s="122">
        <f>'HO Rev Data Input'!D75</f>
        <v>0</v>
      </c>
      <c r="F30" s="122">
        <f>'HO Rev Data Input'!E75</f>
        <v>0</v>
      </c>
      <c r="G30" s="122">
        <f>'HO Rev Data Input'!F75</f>
        <v>0</v>
      </c>
      <c r="H30" s="122">
        <f>'HO Rev Data Input'!G75</f>
        <v>0</v>
      </c>
      <c r="I30" s="122">
        <f>'HO Rev Data Input'!H75</f>
        <v>0</v>
      </c>
      <c r="J30" s="122">
        <f>'HO Rev Data Input'!I75</f>
        <v>0</v>
      </c>
      <c r="K30" s="122">
        <f>'HO Rev Data Input'!J75</f>
        <v>0</v>
      </c>
      <c r="L30" s="122">
        <f>'HO Rev Data Input'!K75</f>
        <v>0</v>
      </c>
      <c r="M30" s="122">
        <f>'HO Rev Data Input'!L75</f>
        <v>0</v>
      </c>
      <c r="N30" s="125">
        <f>'HO Rev Data Input'!M75</f>
        <v>0</v>
      </c>
      <c r="P30" s="195"/>
    </row>
    <row r="31" spans="2:16" x14ac:dyDescent="0.3">
      <c r="B31" s="116" t="s">
        <v>315</v>
      </c>
      <c r="C31" s="122">
        <f>'HO Rev Data Input'!B76</f>
        <v>0</v>
      </c>
      <c r="D31" s="122">
        <f>'HO Rev Data Input'!C76</f>
        <v>0</v>
      </c>
      <c r="E31" s="122">
        <f>'HO Rev Data Input'!D76</f>
        <v>0</v>
      </c>
      <c r="F31" s="122">
        <f>'HO Rev Data Input'!E76</f>
        <v>0</v>
      </c>
      <c r="G31" s="122">
        <f>'HO Rev Data Input'!F76</f>
        <v>0</v>
      </c>
      <c r="H31" s="122">
        <f>'HO Rev Data Input'!G76</f>
        <v>0</v>
      </c>
      <c r="I31" s="122">
        <f>'HO Rev Data Input'!H76</f>
        <v>0</v>
      </c>
      <c r="J31" s="122">
        <f>'HO Rev Data Input'!I76</f>
        <v>0</v>
      </c>
      <c r="K31" s="122">
        <f>'HO Rev Data Input'!J76</f>
        <v>0</v>
      </c>
      <c r="L31" s="122">
        <f>'HO Rev Data Input'!K76</f>
        <v>0</v>
      </c>
      <c r="M31" s="122">
        <f>'HO Rev Data Input'!L76</f>
        <v>0</v>
      </c>
      <c r="N31" s="125">
        <f>'HO Rev Data Input'!M76</f>
        <v>0</v>
      </c>
      <c r="P31" s="195"/>
    </row>
    <row r="32" spans="2:16" x14ac:dyDescent="0.3">
      <c r="B32" s="116" t="s">
        <v>259</v>
      </c>
      <c r="C32" s="122">
        <f>'HO Rev Data Input'!B77</f>
        <v>0</v>
      </c>
      <c r="D32" s="122">
        <f>'HO Rev Data Input'!C77</f>
        <v>0</v>
      </c>
      <c r="E32" s="122">
        <f>'HO Rev Data Input'!D77</f>
        <v>0</v>
      </c>
      <c r="F32" s="122">
        <f>'HO Rev Data Input'!E77</f>
        <v>0</v>
      </c>
      <c r="G32" s="122">
        <f>'HO Rev Data Input'!F77</f>
        <v>0</v>
      </c>
      <c r="H32" s="122">
        <f>'HO Rev Data Input'!G77</f>
        <v>0</v>
      </c>
      <c r="I32" s="122">
        <f>'HO Rev Data Input'!H77</f>
        <v>0</v>
      </c>
      <c r="J32" s="122">
        <f>'HO Rev Data Input'!I77</f>
        <v>0</v>
      </c>
      <c r="K32" s="122">
        <f>'HO Rev Data Input'!J77</f>
        <v>0</v>
      </c>
      <c r="L32" s="122">
        <f>'HO Rev Data Input'!K77</f>
        <v>0</v>
      </c>
      <c r="M32" s="122">
        <f>'HO Rev Data Input'!L77</f>
        <v>0</v>
      </c>
      <c r="N32" s="125">
        <f>'HO Rev Data Input'!M77</f>
        <v>0</v>
      </c>
      <c r="P32" s="195"/>
    </row>
    <row r="33" spans="2:16" x14ac:dyDescent="0.3">
      <c r="B33" s="116" t="s">
        <v>316</v>
      </c>
      <c r="C33" s="122">
        <f>'HO Rev Data Input'!B78</f>
        <v>0</v>
      </c>
      <c r="D33" s="122">
        <f>'HO Rev Data Input'!C78</f>
        <v>0</v>
      </c>
      <c r="E33" s="122">
        <f>'HO Rev Data Input'!D78</f>
        <v>0</v>
      </c>
      <c r="F33" s="122">
        <f>'HO Rev Data Input'!E78</f>
        <v>0</v>
      </c>
      <c r="G33" s="122">
        <f>'HO Rev Data Input'!F78</f>
        <v>0</v>
      </c>
      <c r="H33" s="122">
        <f>'HO Rev Data Input'!G78</f>
        <v>0</v>
      </c>
      <c r="I33" s="122">
        <f>'HO Rev Data Input'!H78</f>
        <v>0</v>
      </c>
      <c r="J33" s="122">
        <f>'HO Rev Data Input'!I78</f>
        <v>0</v>
      </c>
      <c r="K33" s="122">
        <f>'HO Rev Data Input'!J78</f>
        <v>0</v>
      </c>
      <c r="L33" s="122">
        <f>'HO Rev Data Input'!K78</f>
        <v>0</v>
      </c>
      <c r="M33" s="122">
        <f>'HO Rev Data Input'!L78</f>
        <v>0</v>
      </c>
      <c r="N33" s="125">
        <f>'HO Rev Data Input'!M78</f>
        <v>0</v>
      </c>
      <c r="P33" s="195"/>
    </row>
    <row r="34" spans="2:16" x14ac:dyDescent="0.3">
      <c r="B34" s="116" t="s">
        <v>263</v>
      </c>
      <c r="C34" s="122">
        <f>'HO Rev Data Input'!B79</f>
        <v>0</v>
      </c>
      <c r="D34" s="122">
        <f>'HO Rev Data Input'!C79</f>
        <v>0</v>
      </c>
      <c r="E34" s="122">
        <f>'HO Rev Data Input'!D79</f>
        <v>0</v>
      </c>
      <c r="F34" s="122">
        <f>'HO Rev Data Input'!E79</f>
        <v>0</v>
      </c>
      <c r="G34" s="122">
        <f>'HO Rev Data Input'!F79</f>
        <v>0</v>
      </c>
      <c r="H34" s="122">
        <f>'HO Rev Data Input'!G79</f>
        <v>0</v>
      </c>
      <c r="I34" s="122">
        <f>'HO Rev Data Input'!H79</f>
        <v>0</v>
      </c>
      <c r="J34" s="122">
        <f>'HO Rev Data Input'!I79</f>
        <v>0</v>
      </c>
      <c r="K34" s="122">
        <f>'HO Rev Data Input'!J79</f>
        <v>0</v>
      </c>
      <c r="L34" s="122">
        <f>'HO Rev Data Input'!K79</f>
        <v>0</v>
      </c>
      <c r="M34" s="122">
        <f>'HO Rev Data Input'!L79</f>
        <v>0</v>
      </c>
      <c r="N34" s="125">
        <f>'HO Rev Data Input'!M79</f>
        <v>0</v>
      </c>
      <c r="P34" s="195"/>
    </row>
    <row r="35" spans="2:16" x14ac:dyDescent="0.3">
      <c r="B35" s="116" t="s">
        <v>224</v>
      </c>
      <c r="C35" s="62">
        <f>'HO Rev Data Input'!B83</f>
        <v>0</v>
      </c>
      <c r="D35" s="62">
        <f>'HO Rev Data Input'!C83</f>
        <v>0</v>
      </c>
      <c r="E35" s="62">
        <f>'HO Rev Data Input'!D83</f>
        <v>0</v>
      </c>
      <c r="F35" s="62">
        <f>'HO Rev Data Input'!E83</f>
        <v>0</v>
      </c>
      <c r="G35" s="62">
        <f>'HO Rev Data Input'!F83</f>
        <v>0</v>
      </c>
      <c r="H35" s="62">
        <f>'HO Rev Data Input'!G83</f>
        <v>0</v>
      </c>
      <c r="I35" s="62">
        <f>'HO Rev Data Input'!H83</f>
        <v>0</v>
      </c>
      <c r="J35" s="62">
        <f>'HO Rev Data Input'!I83</f>
        <v>0</v>
      </c>
      <c r="K35" s="62">
        <f>'HO Rev Data Input'!J83</f>
        <v>0</v>
      </c>
      <c r="L35" s="62">
        <f>'HO Rev Data Input'!K83</f>
        <v>0</v>
      </c>
      <c r="M35" s="62">
        <f>'HO Rev Data Input'!L83</f>
        <v>0</v>
      </c>
      <c r="N35" s="179">
        <f>'HO Rev Data Input'!M83</f>
        <v>0</v>
      </c>
      <c r="P35" s="195"/>
    </row>
    <row r="36" spans="2:16" x14ac:dyDescent="0.3">
      <c r="B36" s="81" t="s">
        <v>277</v>
      </c>
      <c r="C36" s="118">
        <f>'HO Rev Data Input'!B87</f>
        <v>0</v>
      </c>
      <c r="D36" s="118">
        <f>'HO Rev Data Input'!C87</f>
        <v>0</v>
      </c>
      <c r="E36" s="118">
        <f>'HO Rev Data Input'!D87</f>
        <v>0</v>
      </c>
      <c r="F36" s="118">
        <f>'HO Rev Data Input'!E87</f>
        <v>0</v>
      </c>
      <c r="G36" s="118">
        <f>'HO Rev Data Input'!F87</f>
        <v>0</v>
      </c>
      <c r="H36" s="118">
        <f>'HO Rev Data Input'!G87</f>
        <v>0</v>
      </c>
      <c r="I36" s="118">
        <f>'HO Rev Data Input'!H87</f>
        <v>0</v>
      </c>
      <c r="J36" s="118">
        <f>'HO Rev Data Input'!I87</f>
        <v>0</v>
      </c>
      <c r="K36" s="118">
        <f>'HO Rev Data Input'!J87</f>
        <v>0</v>
      </c>
      <c r="L36" s="118">
        <f>'HO Rev Data Input'!K87</f>
        <v>0</v>
      </c>
      <c r="M36" s="118">
        <f>'HO Rev Data Input'!L87</f>
        <v>0</v>
      </c>
      <c r="N36" s="177">
        <f>'HO Rev Data Input'!M87</f>
        <v>0</v>
      </c>
      <c r="P36" s="191"/>
    </row>
    <row r="37" spans="2:16" x14ac:dyDescent="0.3">
      <c r="B37" s="81" t="s">
        <v>317</v>
      </c>
      <c r="C37" s="118">
        <f>'HO Rev Data Input'!B88</f>
        <v>0</v>
      </c>
      <c r="D37" s="118">
        <f>'HO Rev Data Input'!C88</f>
        <v>0</v>
      </c>
      <c r="E37" s="118">
        <f>'HO Rev Data Input'!D88</f>
        <v>0</v>
      </c>
      <c r="F37" s="118">
        <f>'HO Rev Data Input'!E88</f>
        <v>0</v>
      </c>
      <c r="G37" s="118">
        <f>'HO Rev Data Input'!F88</f>
        <v>0</v>
      </c>
      <c r="H37" s="118">
        <f>'HO Rev Data Input'!G88</f>
        <v>0</v>
      </c>
      <c r="I37" s="118">
        <f>'HO Rev Data Input'!H88</f>
        <v>0</v>
      </c>
      <c r="J37" s="118">
        <f>'HO Rev Data Input'!I88</f>
        <v>0</v>
      </c>
      <c r="K37" s="118">
        <f>'HO Rev Data Input'!J88</f>
        <v>0</v>
      </c>
      <c r="L37" s="118">
        <f>'HO Rev Data Input'!K88</f>
        <v>0</v>
      </c>
      <c r="M37" s="118">
        <f>'HO Rev Data Input'!L88</f>
        <v>0</v>
      </c>
      <c r="N37" s="177">
        <f>'HO Rev Data Input'!M88</f>
        <v>0</v>
      </c>
      <c r="P37" s="191"/>
    </row>
    <row r="38" spans="2:16" x14ac:dyDescent="0.3">
      <c r="B38" s="81" t="s">
        <v>276</v>
      </c>
      <c r="C38" s="118">
        <f>'HO Rev Data Input'!B89</f>
        <v>0</v>
      </c>
      <c r="D38" s="118">
        <f>'HO Rev Data Input'!C89</f>
        <v>0</v>
      </c>
      <c r="E38" s="118">
        <f>'HO Rev Data Input'!D89</f>
        <v>0</v>
      </c>
      <c r="F38" s="118">
        <f>'HO Rev Data Input'!E89</f>
        <v>0</v>
      </c>
      <c r="G38" s="118">
        <f>'HO Rev Data Input'!F89</f>
        <v>0</v>
      </c>
      <c r="H38" s="118">
        <f>'HO Rev Data Input'!G89</f>
        <v>0</v>
      </c>
      <c r="I38" s="118">
        <f>'HO Rev Data Input'!H89</f>
        <v>0</v>
      </c>
      <c r="J38" s="118">
        <f>'HO Rev Data Input'!I89</f>
        <v>0</v>
      </c>
      <c r="K38" s="118">
        <f>'HO Rev Data Input'!J89</f>
        <v>0</v>
      </c>
      <c r="L38" s="118">
        <f>'HO Rev Data Input'!K89</f>
        <v>0</v>
      </c>
      <c r="M38" s="118">
        <f>'HO Rev Data Input'!L89</f>
        <v>0</v>
      </c>
      <c r="N38" s="177">
        <f>'HO Rev Data Input'!M89</f>
        <v>0</v>
      </c>
      <c r="P38" s="191"/>
    </row>
    <row r="39" spans="2:16" x14ac:dyDescent="0.3">
      <c r="B39" s="81" t="s">
        <v>296</v>
      </c>
      <c r="C39" s="122">
        <f>'HO Rev Data Input'!B93</f>
        <v>0</v>
      </c>
      <c r="D39" s="122">
        <f>'HO Rev Data Input'!C93</f>
        <v>0</v>
      </c>
      <c r="E39" s="122">
        <f>'HO Rev Data Input'!D93</f>
        <v>0</v>
      </c>
      <c r="F39" s="122">
        <f>'HO Rev Data Input'!E93</f>
        <v>0</v>
      </c>
      <c r="G39" s="122">
        <f>'HO Rev Data Input'!F93</f>
        <v>0</v>
      </c>
      <c r="H39" s="122">
        <f>'HO Rev Data Input'!G93</f>
        <v>0</v>
      </c>
      <c r="I39" s="122">
        <f>'HO Rev Data Input'!H93</f>
        <v>0</v>
      </c>
      <c r="J39" s="122">
        <f>'HO Rev Data Input'!I93</f>
        <v>0</v>
      </c>
      <c r="K39" s="122">
        <f>'HO Rev Data Input'!J93</f>
        <v>0</v>
      </c>
      <c r="L39" s="122">
        <f>'HO Rev Data Input'!K93</f>
        <v>0</v>
      </c>
      <c r="M39" s="122">
        <f>'HO Rev Data Input'!L93</f>
        <v>0</v>
      </c>
      <c r="N39" s="125">
        <f>'HO Rev Data Input'!M93</f>
        <v>0</v>
      </c>
      <c r="P39" s="191"/>
    </row>
    <row r="40" spans="2:16" x14ac:dyDescent="0.3">
      <c r="B40" s="81" t="s">
        <v>318</v>
      </c>
      <c r="C40" s="122">
        <f>'HO Rev Data Input'!B94</f>
        <v>0</v>
      </c>
      <c r="D40" s="122">
        <f>'HO Rev Data Input'!C94</f>
        <v>0</v>
      </c>
      <c r="E40" s="122">
        <f>'HO Rev Data Input'!D94</f>
        <v>0</v>
      </c>
      <c r="F40" s="122">
        <f>'HO Rev Data Input'!E94</f>
        <v>0</v>
      </c>
      <c r="G40" s="122">
        <f>'HO Rev Data Input'!F94</f>
        <v>0</v>
      </c>
      <c r="H40" s="122">
        <f>'HO Rev Data Input'!G94</f>
        <v>0</v>
      </c>
      <c r="I40" s="122">
        <f>'HO Rev Data Input'!H94</f>
        <v>0</v>
      </c>
      <c r="J40" s="122">
        <f>'HO Rev Data Input'!I94</f>
        <v>0</v>
      </c>
      <c r="K40" s="122">
        <f>'HO Rev Data Input'!J94</f>
        <v>0</v>
      </c>
      <c r="L40" s="122">
        <f>'HO Rev Data Input'!K94</f>
        <v>0</v>
      </c>
      <c r="M40" s="122">
        <f>'HO Rev Data Input'!L94</f>
        <v>0</v>
      </c>
      <c r="N40" s="125">
        <f>'HO Rev Data Input'!M94</f>
        <v>0</v>
      </c>
      <c r="P40" s="191"/>
    </row>
    <row r="41" spans="2:16" x14ac:dyDescent="0.3">
      <c r="B41" s="81" t="s">
        <v>280</v>
      </c>
      <c r="C41" s="62">
        <f>'HO Rev Data Input'!B98</f>
        <v>0</v>
      </c>
      <c r="D41" s="62">
        <f>'HO Rev Data Input'!C98</f>
        <v>0</v>
      </c>
      <c r="E41" s="62">
        <f>'HO Rev Data Input'!D98</f>
        <v>0</v>
      </c>
      <c r="F41" s="62">
        <f>'HO Rev Data Input'!E98</f>
        <v>0</v>
      </c>
      <c r="G41" s="62">
        <f>'HO Rev Data Input'!F98</f>
        <v>0</v>
      </c>
      <c r="H41" s="62">
        <f>'HO Rev Data Input'!G98</f>
        <v>0</v>
      </c>
      <c r="I41" s="62">
        <f>'HO Rev Data Input'!H98</f>
        <v>0</v>
      </c>
      <c r="J41" s="62">
        <f>'HO Rev Data Input'!I98</f>
        <v>0</v>
      </c>
      <c r="K41" s="62">
        <f>'HO Rev Data Input'!J98</f>
        <v>0</v>
      </c>
      <c r="L41" s="62">
        <f>'HO Rev Data Input'!K98</f>
        <v>0</v>
      </c>
      <c r="M41" s="62">
        <f>'HO Rev Data Input'!L98</f>
        <v>0</v>
      </c>
      <c r="N41" s="179">
        <f>'HO Rev Data Input'!M98</f>
        <v>0</v>
      </c>
      <c r="P41" s="191"/>
    </row>
    <row r="42" spans="2:16" x14ac:dyDescent="0.3">
      <c r="B42" s="81" t="s">
        <v>319</v>
      </c>
      <c r="C42" s="62">
        <f>'HO Rev Data Input'!B99</f>
        <v>0</v>
      </c>
      <c r="D42" s="62">
        <f>'HO Rev Data Input'!C99</f>
        <v>0</v>
      </c>
      <c r="E42" s="62">
        <f>'HO Rev Data Input'!D99</f>
        <v>0</v>
      </c>
      <c r="F42" s="62">
        <f>'HO Rev Data Input'!E99</f>
        <v>0</v>
      </c>
      <c r="G42" s="62">
        <f>'HO Rev Data Input'!F99</f>
        <v>0</v>
      </c>
      <c r="H42" s="62">
        <f>'HO Rev Data Input'!G99</f>
        <v>0</v>
      </c>
      <c r="I42" s="62">
        <f>'HO Rev Data Input'!H99</f>
        <v>0</v>
      </c>
      <c r="J42" s="62">
        <f>'HO Rev Data Input'!I99</f>
        <v>0</v>
      </c>
      <c r="K42" s="62">
        <f>'HO Rev Data Input'!J99</f>
        <v>0</v>
      </c>
      <c r="L42" s="62">
        <f>'HO Rev Data Input'!K99</f>
        <v>0</v>
      </c>
      <c r="M42" s="62">
        <f>'HO Rev Data Input'!L99</f>
        <v>0</v>
      </c>
      <c r="N42" s="179">
        <f>'HO Rev Data Input'!M99</f>
        <v>0</v>
      </c>
      <c r="P42" s="191"/>
    </row>
    <row r="43" spans="2:16" x14ac:dyDescent="0.3">
      <c r="B43" s="81" t="s">
        <v>283</v>
      </c>
      <c r="C43" s="117">
        <f>'HO Rev Data Input'!B103</f>
        <v>0</v>
      </c>
      <c r="D43" s="117">
        <f>'HO Rev Data Input'!C103</f>
        <v>0</v>
      </c>
      <c r="E43" s="117">
        <f>'HO Rev Data Input'!D103</f>
        <v>0</v>
      </c>
      <c r="F43" s="117">
        <f>'HO Rev Data Input'!E103</f>
        <v>0</v>
      </c>
      <c r="G43" s="117">
        <f>'HO Rev Data Input'!F103</f>
        <v>0</v>
      </c>
      <c r="H43" s="117">
        <f>'HO Rev Data Input'!G103</f>
        <v>0</v>
      </c>
      <c r="I43" s="117">
        <f>'HO Rev Data Input'!H103</f>
        <v>0</v>
      </c>
      <c r="J43" s="117">
        <f>'HO Rev Data Input'!I103</f>
        <v>0</v>
      </c>
      <c r="K43" s="117">
        <f>'HO Rev Data Input'!J103</f>
        <v>0</v>
      </c>
      <c r="L43" s="117">
        <f>'HO Rev Data Input'!K103</f>
        <v>0</v>
      </c>
      <c r="M43" s="117">
        <f>'HO Rev Data Input'!L103</f>
        <v>0</v>
      </c>
      <c r="N43" s="173">
        <f>'HO Rev Data Input'!M103</f>
        <v>0</v>
      </c>
      <c r="P43" s="195"/>
    </row>
    <row r="44" spans="2:16" ht="15.75" thickBot="1" x14ac:dyDescent="0.35">
      <c r="B44" s="82" t="s">
        <v>284</v>
      </c>
      <c r="C44" s="180">
        <f>'HO Rev Data Input'!B104</f>
        <v>0</v>
      </c>
      <c r="D44" s="180">
        <f>'HO Rev Data Input'!C104</f>
        <v>0</v>
      </c>
      <c r="E44" s="180">
        <f>'HO Rev Data Input'!D104</f>
        <v>0</v>
      </c>
      <c r="F44" s="180">
        <f>'HO Rev Data Input'!E104</f>
        <v>0</v>
      </c>
      <c r="G44" s="180">
        <f>'HO Rev Data Input'!F104</f>
        <v>0</v>
      </c>
      <c r="H44" s="180">
        <f>'HO Rev Data Input'!G104</f>
        <v>0</v>
      </c>
      <c r="I44" s="180">
        <f>'HO Rev Data Input'!H104</f>
        <v>0</v>
      </c>
      <c r="J44" s="180">
        <f>'HO Rev Data Input'!I104</f>
        <v>0</v>
      </c>
      <c r="K44" s="180">
        <f>'HO Rev Data Input'!J104</f>
        <v>0</v>
      </c>
      <c r="L44" s="180">
        <f>'HO Rev Data Input'!K104</f>
        <v>0</v>
      </c>
      <c r="M44" s="180">
        <f>'HO Rev Data Input'!L104</f>
        <v>0</v>
      </c>
      <c r="N44" s="181">
        <f>'HO Rev Data Input'!M104</f>
        <v>0</v>
      </c>
      <c r="P44" s="195"/>
    </row>
  </sheetData>
  <sheetProtection algorithmName="SHA-512" hashValue="3oTsQ1h2Sjn4n3Up99/ZA04IEIbz7CYCkl4OBoYuzm8wSsNu6b/k6qTW3krw9DLxmlvpFbW4kUsPpct34s7vJw==" saltValue="SZUHeZAQ8e8ibThPiuI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4E6B-716C-4CD1-AEA2-13FD7F9DFDB6}">
  <sheetPr>
    <tabColor theme="5" tint="0.79998168889431442"/>
  </sheetPr>
  <dimension ref="A1:N24"/>
  <sheetViews>
    <sheetView workbookViewId="0">
      <pane xSplit="1" ySplit="2" topLeftCell="B3" activePane="bottomRight" state="frozen"/>
      <selection pane="topRight" activeCell="B1" sqref="B1"/>
      <selection pane="bottomLeft" activeCell="A3" sqref="A3"/>
      <selection pane="bottomRight" activeCell="B4" sqref="B4"/>
    </sheetView>
  </sheetViews>
  <sheetFormatPr defaultColWidth="9.140625" defaultRowHeight="15" x14ac:dyDescent="0.3"/>
  <cols>
    <col min="1" max="1" width="32.28515625" style="22" bestFit="1" customWidth="1"/>
    <col min="2" max="3" width="23.5703125" style="41" customWidth="1"/>
    <col min="4" max="4" width="23.5703125" style="22" customWidth="1"/>
    <col min="5" max="14" width="23.5703125" style="41" customWidth="1"/>
    <col min="15" max="16384" width="9.140625" style="22"/>
  </cols>
  <sheetData>
    <row r="1" spans="1:14" x14ac:dyDescent="0.3">
      <c r="A1" s="51" t="s">
        <v>172</v>
      </c>
      <c r="B1" s="52"/>
      <c r="C1" s="52"/>
      <c r="D1" s="53"/>
      <c r="E1" s="52"/>
      <c r="F1" s="52"/>
      <c r="G1" s="52"/>
      <c r="H1" s="52"/>
      <c r="I1" s="52"/>
      <c r="J1" s="52"/>
      <c r="K1" s="52"/>
      <c r="L1" s="52"/>
      <c r="M1" s="52"/>
      <c r="N1" s="52"/>
    </row>
    <row r="2" spans="1:14" x14ac:dyDescent="0.3">
      <c r="A2" s="51" t="s">
        <v>173</v>
      </c>
      <c r="B2" s="52"/>
      <c r="C2" s="52"/>
      <c r="D2" s="53"/>
      <c r="E2" s="52"/>
      <c r="F2" s="54" t="s">
        <v>174</v>
      </c>
      <c r="G2" s="52"/>
      <c r="H2" s="52"/>
      <c r="I2" s="52"/>
      <c r="J2" s="52"/>
      <c r="K2" s="52"/>
      <c r="L2" s="52"/>
      <c r="M2" s="52"/>
      <c r="N2" s="52"/>
    </row>
    <row r="3" spans="1:14" x14ac:dyDescent="0.3">
      <c r="A3" s="51" t="s">
        <v>175</v>
      </c>
      <c r="B3" s="55" t="s">
        <v>133</v>
      </c>
      <c r="C3" s="55" t="s">
        <v>134</v>
      </c>
      <c r="D3" s="55" t="s">
        <v>176</v>
      </c>
      <c r="E3" s="55" t="s">
        <v>135</v>
      </c>
      <c r="F3" s="55" t="s">
        <v>136</v>
      </c>
      <c r="G3" s="55" t="s">
        <v>137</v>
      </c>
      <c r="H3" s="55" t="s">
        <v>138</v>
      </c>
      <c r="I3" s="55" t="s">
        <v>139</v>
      </c>
      <c r="J3" s="55" t="s">
        <v>140</v>
      </c>
      <c r="K3" s="55" t="s">
        <v>141</v>
      </c>
      <c r="L3" s="55" t="s">
        <v>142</v>
      </c>
      <c r="M3" s="55" t="s">
        <v>143</v>
      </c>
      <c r="N3" s="55" t="s">
        <v>144</v>
      </c>
    </row>
    <row r="4" spans="1:14" x14ac:dyDescent="0.3">
      <c r="A4" s="56" t="s">
        <v>161</v>
      </c>
      <c r="B4" s="57">
        <f>'HH Rev Data Input'!B10</f>
        <v>0</v>
      </c>
      <c r="C4" s="57">
        <f>'HH Rev Data Input'!C10</f>
        <v>0</v>
      </c>
      <c r="D4" s="58">
        <f>IF(SUM(B4:C4)=0,0,AVERAGE(B4:C4))</f>
        <v>0</v>
      </c>
      <c r="E4" s="57">
        <f>'HH Rev Data Input'!D10</f>
        <v>0</v>
      </c>
      <c r="F4" s="187"/>
      <c r="G4" s="187"/>
      <c r="H4" s="187"/>
      <c r="I4" s="187"/>
      <c r="J4" s="187"/>
      <c r="K4" s="187"/>
      <c r="L4" s="187"/>
      <c r="M4" s="187"/>
      <c r="N4" s="187"/>
    </row>
    <row r="5" spans="1:14" x14ac:dyDescent="0.3">
      <c r="A5" s="56" t="s">
        <v>177</v>
      </c>
      <c r="B5" s="130">
        <f>B4*(100/98)</f>
        <v>0</v>
      </c>
      <c r="C5" s="130">
        <f>C4*(100/98)</f>
        <v>0</v>
      </c>
      <c r="D5" s="58">
        <f>IF(SUM(B5:C5)=0,0,AVERAGE(B5:C5))</f>
        <v>0</v>
      </c>
      <c r="E5" s="130">
        <f>E4*(100/98)</f>
        <v>0</v>
      </c>
      <c r="F5" s="57">
        <f>'HH Rev Data Input'!E10</f>
        <v>0</v>
      </c>
      <c r="G5" s="57">
        <f>'HH Rev Data Input'!F10</f>
        <v>0</v>
      </c>
      <c r="H5" s="57">
        <f>'HH Rev Data Input'!G10</f>
        <v>0</v>
      </c>
      <c r="I5" s="57">
        <f>'HH Rev Data Input'!H10</f>
        <v>0</v>
      </c>
      <c r="J5" s="57">
        <f>'HH Rev Data Input'!I10</f>
        <v>0</v>
      </c>
      <c r="K5" s="57">
        <f>'HH Rev Data Input'!J10</f>
        <v>0</v>
      </c>
      <c r="L5" s="57">
        <f>'HH Rev Data Input'!K10</f>
        <v>0</v>
      </c>
      <c r="M5" s="57">
        <f>'HH Rev Data Input'!L10</f>
        <v>0</v>
      </c>
      <c r="N5" s="57">
        <f>'HH Rev Data Input'!M10</f>
        <v>0</v>
      </c>
    </row>
    <row r="6" spans="1:14" x14ac:dyDescent="0.3">
      <c r="A6" s="56" t="s">
        <v>329</v>
      </c>
      <c r="B6" s="185"/>
      <c r="C6" s="185"/>
      <c r="D6" s="186"/>
      <c r="E6" s="59">
        <f>E5-D5</f>
        <v>0</v>
      </c>
      <c r="F6" s="59">
        <f>(F5-$D$5)+E6</f>
        <v>0</v>
      </c>
      <c r="G6" s="59">
        <f t="shared" ref="G6:N6" si="0">(G5-$D$5)+F6</f>
        <v>0</v>
      </c>
      <c r="H6" s="59">
        <f t="shared" si="0"/>
        <v>0</v>
      </c>
      <c r="I6" s="59">
        <f t="shared" si="0"/>
        <v>0</v>
      </c>
      <c r="J6" s="59">
        <f t="shared" si="0"/>
        <v>0</v>
      </c>
      <c r="K6" s="59">
        <f t="shared" si="0"/>
        <v>0</v>
      </c>
      <c r="L6" s="59">
        <f t="shared" si="0"/>
        <v>0</v>
      </c>
      <c r="M6" s="59">
        <f t="shared" si="0"/>
        <v>0</v>
      </c>
      <c r="N6" s="59">
        <f t="shared" si="0"/>
        <v>0</v>
      </c>
    </row>
    <row r="7" spans="1:14" x14ac:dyDescent="0.3">
      <c r="A7" s="56"/>
      <c r="B7" s="47"/>
      <c r="C7" s="47"/>
      <c r="D7" s="56"/>
      <c r="E7" s="47"/>
      <c r="F7" s="47"/>
      <c r="G7" s="47"/>
      <c r="H7" s="47"/>
      <c r="I7" s="47"/>
      <c r="J7" s="47"/>
      <c r="K7" s="47"/>
      <c r="L7" s="47"/>
      <c r="M7" s="47"/>
      <c r="N7" s="47"/>
    </row>
    <row r="8" spans="1:14" x14ac:dyDescent="0.3">
      <c r="A8" s="51" t="s">
        <v>178</v>
      </c>
      <c r="B8" s="55" t="s">
        <v>133</v>
      </c>
      <c r="C8" s="55" t="s">
        <v>134</v>
      </c>
      <c r="D8" s="55" t="s">
        <v>176</v>
      </c>
      <c r="E8" s="55" t="s">
        <v>135</v>
      </c>
      <c r="F8" s="55" t="s">
        <v>136</v>
      </c>
      <c r="G8" s="55" t="s">
        <v>137</v>
      </c>
      <c r="H8" s="55" t="s">
        <v>138</v>
      </c>
      <c r="I8" s="55" t="s">
        <v>139</v>
      </c>
      <c r="J8" s="55" t="s">
        <v>140</v>
      </c>
      <c r="K8" s="55" t="s">
        <v>141</v>
      </c>
      <c r="L8" s="55" t="s">
        <v>142</v>
      </c>
      <c r="M8" s="55" t="s">
        <v>143</v>
      </c>
      <c r="N8" s="55" t="s">
        <v>144</v>
      </c>
    </row>
    <row r="9" spans="1:14" x14ac:dyDescent="0.3">
      <c r="A9" s="56" t="s">
        <v>179</v>
      </c>
      <c r="B9" s="60">
        <f>'HH Rev Data Input'!B19</f>
        <v>0</v>
      </c>
      <c r="C9" s="60">
        <f>'HH Rev Data Input'!C19</f>
        <v>0</v>
      </c>
      <c r="D9" s="61">
        <f>IF(SUM(B9:C9)=0,0,AVERAGE(B9:C9))</f>
        <v>0</v>
      </c>
      <c r="E9" s="60">
        <f>'HH Rev Data Input'!D19</f>
        <v>0</v>
      </c>
      <c r="F9" s="60">
        <f>'HH Rev Data Input'!E19</f>
        <v>0</v>
      </c>
      <c r="G9" s="60">
        <f>'HH Rev Data Input'!F19</f>
        <v>0</v>
      </c>
      <c r="H9" s="60">
        <f>'HH Rev Data Input'!G19</f>
        <v>0</v>
      </c>
      <c r="I9" s="60">
        <f>'HH Rev Data Input'!H19</f>
        <v>0</v>
      </c>
      <c r="J9" s="60">
        <f>'HH Rev Data Input'!I19</f>
        <v>0</v>
      </c>
      <c r="K9" s="60">
        <f>'HH Rev Data Input'!J19</f>
        <v>0</v>
      </c>
      <c r="L9" s="60">
        <f>'HH Rev Data Input'!K19</f>
        <v>0</v>
      </c>
      <c r="M9" s="60">
        <f>'HH Rev Data Input'!L19</f>
        <v>0</v>
      </c>
      <c r="N9" s="60">
        <f>'HH Rev Data Input'!M19</f>
        <v>0</v>
      </c>
    </row>
    <row r="10" spans="1:14" x14ac:dyDescent="0.3">
      <c r="A10" s="56"/>
      <c r="B10" s="62"/>
      <c r="C10" s="62"/>
      <c r="D10" s="62"/>
      <c r="E10" s="62"/>
      <c r="F10" s="62"/>
      <c r="G10" s="47"/>
      <c r="H10" s="47"/>
      <c r="I10" s="47"/>
      <c r="J10" s="47"/>
      <c r="K10" s="47"/>
      <c r="L10" s="47"/>
      <c r="M10" s="47"/>
      <c r="N10" s="47"/>
    </row>
    <row r="11" spans="1:14" x14ac:dyDescent="0.3">
      <c r="A11" s="51" t="s">
        <v>180</v>
      </c>
      <c r="B11" s="55" t="s">
        <v>133</v>
      </c>
      <c r="C11" s="55" t="s">
        <v>134</v>
      </c>
      <c r="D11" s="55" t="s">
        <v>176</v>
      </c>
      <c r="E11" s="55" t="s">
        <v>135</v>
      </c>
      <c r="F11" s="55" t="s">
        <v>136</v>
      </c>
      <c r="G11" s="55" t="s">
        <v>137</v>
      </c>
      <c r="H11" s="55" t="s">
        <v>138</v>
      </c>
      <c r="I11" s="55" t="s">
        <v>139</v>
      </c>
      <c r="J11" s="55" t="s">
        <v>140</v>
      </c>
      <c r="K11" s="55" t="s">
        <v>141</v>
      </c>
      <c r="L11" s="55" t="s">
        <v>142</v>
      </c>
      <c r="M11" s="55" t="s">
        <v>143</v>
      </c>
      <c r="N11" s="55" t="s">
        <v>144</v>
      </c>
    </row>
    <row r="12" spans="1:14" x14ac:dyDescent="0.3">
      <c r="A12" s="56" t="s">
        <v>150</v>
      </c>
      <c r="B12" s="63">
        <f>'HH Rev Data Input'!B24</f>
        <v>0</v>
      </c>
      <c r="C12" s="63">
        <f>'HH Rev Data Input'!C24</f>
        <v>0</v>
      </c>
      <c r="D12" s="64">
        <f>IF(SUM(B12:C12)=0,0,AVERAGE(B12:C12))</f>
        <v>0</v>
      </c>
      <c r="E12" s="63">
        <f>'HH Rev Data Input'!D24</f>
        <v>0</v>
      </c>
      <c r="F12" s="63">
        <f>'HH Rev Data Input'!E24</f>
        <v>0</v>
      </c>
      <c r="G12" s="63">
        <f>'HH Rev Data Input'!F24</f>
        <v>0</v>
      </c>
      <c r="H12" s="63">
        <f>'HH Rev Data Input'!G24</f>
        <v>0</v>
      </c>
      <c r="I12" s="63">
        <f>'HH Rev Data Input'!H24</f>
        <v>0</v>
      </c>
      <c r="J12" s="63">
        <f>'HH Rev Data Input'!I24</f>
        <v>0</v>
      </c>
      <c r="K12" s="63">
        <f>'HH Rev Data Input'!J24</f>
        <v>0</v>
      </c>
      <c r="L12" s="63">
        <f>'HH Rev Data Input'!K24</f>
        <v>0</v>
      </c>
      <c r="M12" s="63">
        <f>'HH Rev Data Input'!L24</f>
        <v>0</v>
      </c>
      <c r="N12" s="63">
        <f>'HH Rev Data Input'!M24</f>
        <v>0</v>
      </c>
    </row>
    <row r="13" spans="1:14" x14ac:dyDescent="0.3">
      <c r="A13" s="56" t="s">
        <v>181</v>
      </c>
      <c r="B13" s="63">
        <f>'HH Rev Data Input'!B29</f>
        <v>0</v>
      </c>
      <c r="C13" s="63">
        <f>'HH Rev Data Input'!C29</f>
        <v>0</v>
      </c>
      <c r="D13" s="64">
        <f>IF(SUM(B13:C13)=0,0,AVERAGE(B13:C13))</f>
        <v>0</v>
      </c>
      <c r="E13" s="63">
        <f>'HH Rev Data Input'!D29</f>
        <v>0</v>
      </c>
      <c r="F13" s="63">
        <f>'HH Rev Data Input'!E29</f>
        <v>0</v>
      </c>
      <c r="G13" s="63">
        <f>'HH Rev Data Input'!F29</f>
        <v>0</v>
      </c>
      <c r="H13" s="63">
        <f>'HH Rev Data Input'!G29</f>
        <v>0</v>
      </c>
      <c r="I13" s="63">
        <f>'HH Rev Data Input'!H29</f>
        <v>0</v>
      </c>
      <c r="J13" s="63">
        <f>'HH Rev Data Input'!I29</f>
        <v>0</v>
      </c>
      <c r="K13" s="63">
        <f>'HH Rev Data Input'!J29</f>
        <v>0</v>
      </c>
      <c r="L13" s="63">
        <f>'HH Rev Data Input'!K29</f>
        <v>0</v>
      </c>
      <c r="M13" s="63">
        <f>'HH Rev Data Input'!L29</f>
        <v>0</v>
      </c>
      <c r="N13" s="63">
        <f>'HH Rev Data Input'!M29</f>
        <v>0</v>
      </c>
    </row>
    <row r="14" spans="1:14" x14ac:dyDescent="0.3">
      <c r="A14" s="56"/>
      <c r="B14" s="47"/>
      <c r="C14" s="47"/>
      <c r="D14" s="56"/>
      <c r="E14" s="47"/>
      <c r="F14" s="47"/>
      <c r="G14" s="47"/>
      <c r="H14" s="47"/>
      <c r="I14" s="47"/>
      <c r="J14" s="47"/>
      <c r="K14" s="47"/>
      <c r="L14" s="47"/>
      <c r="M14" s="47"/>
      <c r="N14" s="47"/>
    </row>
    <row r="15" spans="1:14" x14ac:dyDescent="0.3">
      <c r="A15" s="51" t="s">
        <v>182</v>
      </c>
      <c r="B15" s="55" t="s">
        <v>133</v>
      </c>
      <c r="C15" s="55" t="s">
        <v>134</v>
      </c>
      <c r="D15" s="55" t="s">
        <v>176</v>
      </c>
      <c r="E15" s="55" t="s">
        <v>135</v>
      </c>
      <c r="F15" s="55" t="s">
        <v>136</v>
      </c>
      <c r="G15" s="55" t="s">
        <v>137</v>
      </c>
      <c r="H15" s="55" t="s">
        <v>138</v>
      </c>
      <c r="I15" s="55" t="s">
        <v>139</v>
      </c>
      <c r="J15" s="55" t="s">
        <v>140</v>
      </c>
      <c r="K15" s="55" t="s">
        <v>141</v>
      </c>
      <c r="L15" s="55" t="s">
        <v>142</v>
      </c>
      <c r="M15" s="55" t="s">
        <v>143</v>
      </c>
      <c r="N15" s="55" t="s">
        <v>144</v>
      </c>
    </row>
    <row r="16" spans="1:14" x14ac:dyDescent="0.3">
      <c r="A16" s="56" t="s">
        <v>183</v>
      </c>
      <c r="B16" s="65">
        <f>'HH Rev Data Input'!B34</f>
        <v>0</v>
      </c>
      <c r="C16" s="65">
        <f>'HH Rev Data Input'!C34</f>
        <v>0</v>
      </c>
      <c r="D16" s="66">
        <f t="shared" ref="D16:D19" si="1">IF(SUM(B16:C16)=0,0,AVERAGE(B16:C16))</f>
        <v>0</v>
      </c>
      <c r="E16" s="65">
        <f>'HH Rev Data Input'!D34</f>
        <v>0</v>
      </c>
      <c r="F16" s="65">
        <f>'HH Rev Data Input'!E34</f>
        <v>0</v>
      </c>
      <c r="G16" s="65">
        <f>'HH Rev Data Input'!F34</f>
        <v>0</v>
      </c>
      <c r="H16" s="65">
        <f>'HH Rev Data Input'!G34</f>
        <v>0</v>
      </c>
      <c r="I16" s="65">
        <f>'HH Rev Data Input'!H34</f>
        <v>0</v>
      </c>
      <c r="J16" s="65">
        <f>'HH Rev Data Input'!I34</f>
        <v>0</v>
      </c>
      <c r="K16" s="65">
        <f>'HH Rev Data Input'!J34</f>
        <v>0</v>
      </c>
      <c r="L16" s="65">
        <f>'HH Rev Data Input'!K34</f>
        <v>0</v>
      </c>
      <c r="M16" s="65">
        <f>'HH Rev Data Input'!L34</f>
        <v>0</v>
      </c>
      <c r="N16" s="65">
        <f>'HH Rev Data Input'!M34</f>
        <v>0</v>
      </c>
    </row>
    <row r="17" spans="1:14" x14ac:dyDescent="0.3">
      <c r="A17" s="56" t="s">
        <v>154</v>
      </c>
      <c r="B17" s="67">
        <f>'HH Rev Data Input'!B40</f>
        <v>0</v>
      </c>
      <c r="C17" s="67">
        <f>'HH Rev Data Input'!C40</f>
        <v>0</v>
      </c>
      <c r="D17" s="66">
        <f t="shared" si="1"/>
        <v>0</v>
      </c>
      <c r="E17" s="67">
        <f>'HH Rev Data Input'!D40</f>
        <v>0</v>
      </c>
      <c r="F17" s="67">
        <f>'HH Rev Data Input'!E40</f>
        <v>0</v>
      </c>
      <c r="G17" s="67">
        <f>'HH Rev Data Input'!F40</f>
        <v>0</v>
      </c>
      <c r="H17" s="67">
        <f>'HH Rev Data Input'!G40</f>
        <v>0</v>
      </c>
      <c r="I17" s="67">
        <f>'HH Rev Data Input'!H40</f>
        <v>0</v>
      </c>
      <c r="J17" s="67">
        <f>'HH Rev Data Input'!I40</f>
        <v>0</v>
      </c>
      <c r="K17" s="67">
        <f>'HH Rev Data Input'!J40</f>
        <v>0</v>
      </c>
      <c r="L17" s="67">
        <f>'HH Rev Data Input'!K40</f>
        <v>0</v>
      </c>
      <c r="M17" s="67">
        <f>'HH Rev Data Input'!L40</f>
        <v>0</v>
      </c>
      <c r="N17" s="67">
        <f>'HH Rev Data Input'!M40</f>
        <v>0</v>
      </c>
    </row>
    <row r="18" spans="1:14" x14ac:dyDescent="0.3">
      <c r="A18" s="56" t="s">
        <v>155</v>
      </c>
      <c r="B18" s="67">
        <f>'HH Rev Data Input'!B46</f>
        <v>0</v>
      </c>
      <c r="C18" s="67">
        <f>'HH Rev Data Input'!C46</f>
        <v>0</v>
      </c>
      <c r="D18" s="66">
        <f t="shared" si="1"/>
        <v>0</v>
      </c>
      <c r="E18" s="67">
        <f>'HH Rev Data Input'!D46</f>
        <v>0</v>
      </c>
      <c r="F18" s="67">
        <f>'HH Rev Data Input'!E46</f>
        <v>0</v>
      </c>
      <c r="G18" s="67">
        <f>'HH Rev Data Input'!F46</f>
        <v>0</v>
      </c>
      <c r="H18" s="67">
        <f>'HH Rev Data Input'!G46</f>
        <v>0</v>
      </c>
      <c r="I18" s="67">
        <f>'HH Rev Data Input'!H46</f>
        <v>0</v>
      </c>
      <c r="J18" s="67">
        <f>'HH Rev Data Input'!I46</f>
        <v>0</v>
      </c>
      <c r="K18" s="67">
        <f>'HH Rev Data Input'!J46</f>
        <v>0</v>
      </c>
      <c r="L18" s="67">
        <f>'HH Rev Data Input'!K46</f>
        <v>0</v>
      </c>
      <c r="M18" s="67">
        <f>'HH Rev Data Input'!L46</f>
        <v>0</v>
      </c>
      <c r="N18" s="67">
        <f>'HH Rev Data Input'!M46</f>
        <v>0</v>
      </c>
    </row>
    <row r="19" spans="1:14" x14ac:dyDescent="0.3">
      <c r="A19" s="56" t="s">
        <v>184</v>
      </c>
      <c r="B19" s="67">
        <f>'HH Rev Data Input'!B52</f>
        <v>0</v>
      </c>
      <c r="C19" s="67">
        <f>'HH Rev Data Input'!C52</f>
        <v>0</v>
      </c>
      <c r="D19" s="66">
        <f t="shared" si="1"/>
        <v>0</v>
      </c>
      <c r="E19" s="67">
        <f>'HH Rev Data Input'!D52</f>
        <v>0</v>
      </c>
      <c r="F19" s="67">
        <f>'HH Rev Data Input'!E52</f>
        <v>0</v>
      </c>
      <c r="G19" s="67">
        <f>'HH Rev Data Input'!F52</f>
        <v>0</v>
      </c>
      <c r="H19" s="67">
        <f>'HH Rev Data Input'!G52</f>
        <v>0</v>
      </c>
      <c r="I19" s="67">
        <f>'HH Rev Data Input'!H52</f>
        <v>0</v>
      </c>
      <c r="J19" s="67">
        <f>'HH Rev Data Input'!I52</f>
        <v>0</v>
      </c>
      <c r="K19" s="67">
        <f>'HH Rev Data Input'!J52</f>
        <v>0</v>
      </c>
      <c r="L19" s="67">
        <f>'HH Rev Data Input'!K52</f>
        <v>0</v>
      </c>
      <c r="M19" s="67">
        <f>'HH Rev Data Input'!L52</f>
        <v>0</v>
      </c>
      <c r="N19" s="67">
        <f>'HH Rev Data Input'!M52</f>
        <v>0</v>
      </c>
    </row>
    <row r="20" spans="1:14" x14ac:dyDescent="0.3">
      <c r="A20" s="56"/>
      <c r="B20" s="47"/>
      <c r="C20" s="47"/>
      <c r="D20" s="56"/>
      <c r="E20" s="47"/>
      <c r="F20" s="47"/>
      <c r="G20" s="47"/>
      <c r="H20" s="47"/>
      <c r="I20" s="47"/>
      <c r="J20" s="47"/>
      <c r="K20" s="47"/>
      <c r="L20" s="47"/>
      <c r="M20" s="47"/>
      <c r="N20" s="47"/>
    </row>
    <row r="21" spans="1:14" x14ac:dyDescent="0.3">
      <c r="A21" s="51" t="s">
        <v>185</v>
      </c>
      <c r="B21" s="55" t="s">
        <v>133</v>
      </c>
      <c r="C21" s="55" t="s">
        <v>134</v>
      </c>
      <c r="D21" s="55" t="s">
        <v>176</v>
      </c>
      <c r="E21" s="55" t="s">
        <v>135</v>
      </c>
      <c r="F21" s="55" t="s">
        <v>136</v>
      </c>
      <c r="G21" s="55" t="s">
        <v>137</v>
      </c>
      <c r="H21" s="55" t="s">
        <v>138</v>
      </c>
      <c r="I21" s="55" t="s">
        <v>139</v>
      </c>
      <c r="J21" s="55" t="s">
        <v>140</v>
      </c>
      <c r="K21" s="55" t="s">
        <v>141</v>
      </c>
      <c r="L21" s="55" t="s">
        <v>142</v>
      </c>
      <c r="M21" s="55" t="s">
        <v>143</v>
      </c>
      <c r="N21" s="55" t="s">
        <v>144</v>
      </c>
    </row>
    <row r="22" spans="1:14" x14ac:dyDescent="0.3">
      <c r="A22" s="56" t="s">
        <v>157</v>
      </c>
      <c r="B22" s="67">
        <f>'HH Rev Data Input'!B58</f>
        <v>0</v>
      </c>
      <c r="C22" s="67">
        <f>'HH Rev Data Input'!C58</f>
        <v>0</v>
      </c>
      <c r="D22" s="66">
        <f t="shared" ref="D22:D24" si="2">IF(SUM(B22:C22)=0,0,AVERAGE(B22:C22))</f>
        <v>0</v>
      </c>
      <c r="E22" s="67">
        <f>'HH Rev Data Input'!D58</f>
        <v>0</v>
      </c>
      <c r="F22" s="67">
        <f>'HH Rev Data Input'!E58</f>
        <v>0</v>
      </c>
      <c r="G22" s="67">
        <f>'HH Rev Data Input'!F58</f>
        <v>0</v>
      </c>
      <c r="H22" s="67">
        <f>'HH Rev Data Input'!G58</f>
        <v>0</v>
      </c>
      <c r="I22" s="67">
        <f>'HH Rev Data Input'!H58</f>
        <v>0</v>
      </c>
      <c r="J22" s="67">
        <f>'HH Rev Data Input'!I58</f>
        <v>0</v>
      </c>
      <c r="K22" s="67">
        <f>'HH Rev Data Input'!J58</f>
        <v>0</v>
      </c>
      <c r="L22" s="67">
        <f>'HH Rev Data Input'!K58</f>
        <v>0</v>
      </c>
      <c r="M22" s="67">
        <f>'HH Rev Data Input'!L58</f>
        <v>0</v>
      </c>
      <c r="N22" s="67">
        <f>'HH Rev Data Input'!M58</f>
        <v>0</v>
      </c>
    </row>
    <row r="23" spans="1:14" x14ac:dyDescent="0.3">
      <c r="A23" s="56" t="s">
        <v>158</v>
      </c>
      <c r="B23" s="67">
        <f>'HH Rev Data Input'!B64</f>
        <v>0</v>
      </c>
      <c r="C23" s="67">
        <f>'HH Rev Data Input'!C64</f>
        <v>0</v>
      </c>
      <c r="D23" s="66">
        <f t="shared" si="2"/>
        <v>0</v>
      </c>
      <c r="E23" s="67">
        <f>'HH Rev Data Input'!D64</f>
        <v>0</v>
      </c>
      <c r="F23" s="67">
        <f>'HH Rev Data Input'!E64</f>
        <v>0</v>
      </c>
      <c r="G23" s="67">
        <f>'HH Rev Data Input'!F64</f>
        <v>0</v>
      </c>
      <c r="H23" s="67">
        <f>'HH Rev Data Input'!G64</f>
        <v>0</v>
      </c>
      <c r="I23" s="67">
        <f>'HH Rev Data Input'!H64</f>
        <v>0</v>
      </c>
      <c r="J23" s="67">
        <f>'HH Rev Data Input'!I64</f>
        <v>0</v>
      </c>
      <c r="K23" s="67">
        <f>'HH Rev Data Input'!J64</f>
        <v>0</v>
      </c>
      <c r="L23" s="67">
        <f>'HH Rev Data Input'!K64</f>
        <v>0</v>
      </c>
      <c r="M23" s="67">
        <f>'HH Rev Data Input'!L64</f>
        <v>0</v>
      </c>
      <c r="N23" s="67">
        <f>'HH Rev Data Input'!M64</f>
        <v>0</v>
      </c>
    </row>
    <row r="24" spans="1:14" x14ac:dyDescent="0.3">
      <c r="A24" s="56" t="s">
        <v>186</v>
      </c>
      <c r="B24" s="65">
        <f>'HH Rev Data Input'!B70</f>
        <v>0</v>
      </c>
      <c r="C24" s="65">
        <f>'HH Rev Data Input'!C70</f>
        <v>0</v>
      </c>
      <c r="D24" s="66">
        <f t="shared" si="2"/>
        <v>0</v>
      </c>
      <c r="E24" s="65">
        <f>'HH Rev Data Input'!D70</f>
        <v>0</v>
      </c>
      <c r="F24" s="65">
        <f>'HH Rev Data Input'!E70</f>
        <v>0</v>
      </c>
      <c r="G24" s="65">
        <f>'HH Rev Data Input'!F70</f>
        <v>0</v>
      </c>
      <c r="H24" s="65">
        <f>'HH Rev Data Input'!G70</f>
        <v>0</v>
      </c>
      <c r="I24" s="65">
        <f>'HH Rev Data Input'!H70</f>
        <v>0</v>
      </c>
      <c r="J24" s="65">
        <f>'HH Rev Data Input'!I70</f>
        <v>0</v>
      </c>
      <c r="K24" s="65">
        <f>'HH Rev Data Input'!J70</f>
        <v>0</v>
      </c>
      <c r="L24" s="65">
        <f>'HH Rev Data Input'!K70</f>
        <v>0</v>
      </c>
      <c r="M24" s="65">
        <f>'HH Rev Data Input'!L70</f>
        <v>0</v>
      </c>
      <c r="N24" s="65">
        <f>'HH Rev Data Input'!M70</f>
        <v>0</v>
      </c>
    </row>
  </sheetData>
  <sheetProtection algorithmName="SHA-512" hashValue="7cBh0Mdyu0iCDlhhV3Tbc/cYbCv/edyzHbItyBafcZhskRTOG9a3i7dkMo1gqiVx18YBIbLyqS5xTQUil0LTqg==" saltValue="28sbfwPlJEbznwUtu5Ab/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3FA99-D352-4930-A322-E68AD9C9C1F0}">
  <sheetPr>
    <tabColor theme="5" tint="0.79998168889431442"/>
  </sheetPr>
  <dimension ref="A1:N24"/>
  <sheetViews>
    <sheetView workbookViewId="0">
      <pane xSplit="1" ySplit="2" topLeftCell="B3" activePane="bottomRight" state="frozen"/>
      <selection pane="topRight" activeCell="B1" sqref="B1"/>
      <selection pane="bottomLeft" activeCell="A3" sqref="A3"/>
      <selection pane="bottomRight" activeCell="C12" sqref="C12"/>
    </sheetView>
  </sheetViews>
  <sheetFormatPr defaultColWidth="9.140625" defaultRowHeight="15" x14ac:dyDescent="0.3"/>
  <cols>
    <col min="1" max="1" width="28.5703125" style="22" customWidth="1"/>
    <col min="2" max="3" width="23.5703125" style="41" customWidth="1"/>
    <col min="4" max="4" width="23.5703125" style="22" customWidth="1"/>
    <col min="5" max="14" width="23.5703125" style="41" customWidth="1"/>
    <col min="15" max="16384" width="9.140625" style="22"/>
  </cols>
  <sheetData>
    <row r="1" spans="1:14" x14ac:dyDescent="0.3">
      <c r="A1" s="51" t="s">
        <v>172</v>
      </c>
      <c r="B1" s="52"/>
      <c r="C1" s="52"/>
      <c r="D1" s="53"/>
      <c r="E1" s="52"/>
      <c r="F1" s="52"/>
      <c r="G1" s="52"/>
      <c r="H1" s="52"/>
      <c r="I1" s="52"/>
      <c r="J1" s="52"/>
      <c r="K1" s="52"/>
      <c r="L1" s="52"/>
      <c r="M1" s="52"/>
      <c r="N1" s="52"/>
    </row>
    <row r="2" spans="1:14" x14ac:dyDescent="0.3">
      <c r="A2" s="51" t="s">
        <v>187</v>
      </c>
      <c r="B2" s="52"/>
      <c r="C2" s="52"/>
      <c r="D2" s="53"/>
      <c r="E2" s="52"/>
      <c r="F2" s="54" t="s">
        <v>174</v>
      </c>
      <c r="G2" s="52"/>
      <c r="H2" s="52"/>
      <c r="I2" s="52"/>
      <c r="J2" s="52"/>
      <c r="K2" s="52"/>
      <c r="L2" s="52"/>
      <c r="M2" s="52"/>
      <c r="N2" s="52"/>
    </row>
    <row r="3" spans="1:14" x14ac:dyDescent="0.3">
      <c r="A3" s="51" t="s">
        <v>175</v>
      </c>
      <c r="B3" s="55" t="s">
        <v>133</v>
      </c>
      <c r="C3" s="55" t="s">
        <v>134</v>
      </c>
      <c r="D3" s="55" t="s">
        <v>176</v>
      </c>
      <c r="E3" s="55" t="s">
        <v>135</v>
      </c>
      <c r="F3" s="55" t="s">
        <v>136</v>
      </c>
      <c r="G3" s="55" t="s">
        <v>137</v>
      </c>
      <c r="H3" s="55" t="s">
        <v>138</v>
      </c>
      <c r="I3" s="55" t="s">
        <v>139</v>
      </c>
      <c r="J3" s="55" t="s">
        <v>140</v>
      </c>
      <c r="K3" s="55" t="s">
        <v>141</v>
      </c>
      <c r="L3" s="55" t="s">
        <v>142</v>
      </c>
      <c r="M3" s="55" t="s">
        <v>143</v>
      </c>
      <c r="N3" s="55" t="s">
        <v>144</v>
      </c>
    </row>
    <row r="4" spans="1:14" x14ac:dyDescent="0.3">
      <c r="A4" s="56" t="s">
        <v>161</v>
      </c>
      <c r="B4" s="57">
        <f>'HH Rev Data Input'!B11</f>
        <v>0</v>
      </c>
      <c r="C4" s="57">
        <f>'HH Rev Data Input'!C11</f>
        <v>0</v>
      </c>
      <c r="D4" s="58">
        <f>IF(SUM(B4:C4)=0,0,AVERAGE(B4:C4))</f>
        <v>0</v>
      </c>
      <c r="E4" s="57">
        <f>'HH Rev Data Input'!D11</f>
        <v>0</v>
      </c>
      <c r="F4" s="187"/>
      <c r="G4" s="187"/>
      <c r="H4" s="187"/>
      <c r="I4" s="187"/>
      <c r="J4" s="187"/>
      <c r="K4" s="187"/>
      <c r="L4" s="187"/>
      <c r="M4" s="187"/>
      <c r="N4" s="187"/>
    </row>
    <row r="5" spans="1:14" x14ac:dyDescent="0.3">
      <c r="A5" s="56" t="s">
        <v>177</v>
      </c>
      <c r="B5" s="130">
        <f>B4*(100/98)</f>
        <v>0</v>
      </c>
      <c r="C5" s="130">
        <f>C4*(100/98)</f>
        <v>0</v>
      </c>
      <c r="D5" s="58">
        <f>IF(SUM(B5:C5)=0,0,AVERAGE(B5:C5))</f>
        <v>0</v>
      </c>
      <c r="E5" s="130">
        <f>E4*(100/98)</f>
        <v>0</v>
      </c>
      <c r="F5" s="57">
        <f>'HH Rev Data Input'!E11</f>
        <v>0</v>
      </c>
      <c r="G5" s="57">
        <f>'HH Rev Data Input'!F11</f>
        <v>0</v>
      </c>
      <c r="H5" s="57">
        <f>'HH Rev Data Input'!G11</f>
        <v>0</v>
      </c>
      <c r="I5" s="57">
        <f>'HH Rev Data Input'!H11</f>
        <v>0</v>
      </c>
      <c r="J5" s="57">
        <f>'HH Rev Data Input'!I11</f>
        <v>0</v>
      </c>
      <c r="K5" s="57">
        <f>'HH Rev Data Input'!J11</f>
        <v>0</v>
      </c>
      <c r="L5" s="57">
        <f>'HH Rev Data Input'!K11</f>
        <v>0</v>
      </c>
      <c r="M5" s="57">
        <f>'HH Rev Data Input'!L11</f>
        <v>0</v>
      </c>
      <c r="N5" s="57">
        <f>'HH Rev Data Input'!M11</f>
        <v>0</v>
      </c>
    </row>
    <row r="6" spans="1:14" x14ac:dyDescent="0.3">
      <c r="A6" s="56" t="s">
        <v>329</v>
      </c>
      <c r="B6" s="185"/>
      <c r="C6" s="185"/>
      <c r="D6" s="186"/>
      <c r="E6" s="59">
        <f>E5-D5</f>
        <v>0</v>
      </c>
      <c r="F6" s="59">
        <f>(F5-$D$5)+E6</f>
        <v>0</v>
      </c>
      <c r="G6" s="59">
        <f t="shared" ref="G6:N6" si="0">(G5-$D$5)+F6</f>
        <v>0</v>
      </c>
      <c r="H6" s="59">
        <f t="shared" si="0"/>
        <v>0</v>
      </c>
      <c r="I6" s="59">
        <f t="shared" si="0"/>
        <v>0</v>
      </c>
      <c r="J6" s="59">
        <f t="shared" si="0"/>
        <v>0</v>
      </c>
      <c r="K6" s="59">
        <f t="shared" si="0"/>
        <v>0</v>
      </c>
      <c r="L6" s="59">
        <f t="shared" si="0"/>
        <v>0</v>
      </c>
      <c r="M6" s="59">
        <f t="shared" si="0"/>
        <v>0</v>
      </c>
      <c r="N6" s="59">
        <f t="shared" si="0"/>
        <v>0</v>
      </c>
    </row>
    <row r="7" spans="1:14" x14ac:dyDescent="0.3">
      <c r="A7" s="56"/>
      <c r="B7" s="47"/>
      <c r="C7" s="47"/>
      <c r="D7" s="56"/>
      <c r="E7" s="47"/>
      <c r="F7" s="47"/>
      <c r="G7" s="47"/>
      <c r="H7" s="47"/>
      <c r="I7" s="47"/>
      <c r="J7" s="47"/>
      <c r="K7" s="47"/>
      <c r="L7" s="47"/>
      <c r="M7" s="47"/>
      <c r="N7" s="47"/>
    </row>
    <row r="8" spans="1:14" x14ac:dyDescent="0.3">
      <c r="A8" s="51" t="s">
        <v>178</v>
      </c>
      <c r="B8" s="55" t="s">
        <v>133</v>
      </c>
      <c r="C8" s="55" t="s">
        <v>134</v>
      </c>
      <c r="D8" s="55" t="s">
        <v>176</v>
      </c>
      <c r="E8" s="55" t="s">
        <v>135</v>
      </c>
      <c r="F8" s="55" t="s">
        <v>136</v>
      </c>
      <c r="G8" s="55" t="s">
        <v>137</v>
      </c>
      <c r="H8" s="55" t="s">
        <v>138</v>
      </c>
      <c r="I8" s="55" t="s">
        <v>139</v>
      </c>
      <c r="J8" s="55" t="s">
        <v>140</v>
      </c>
      <c r="K8" s="55" t="s">
        <v>141</v>
      </c>
      <c r="L8" s="55" t="s">
        <v>142</v>
      </c>
      <c r="M8" s="55" t="s">
        <v>143</v>
      </c>
      <c r="N8" s="55" t="s">
        <v>144</v>
      </c>
    </row>
    <row r="9" spans="1:14" x14ac:dyDescent="0.3">
      <c r="A9" s="56" t="s">
        <v>179</v>
      </c>
      <c r="B9" s="60">
        <f>'HH Rev Data Input'!B20</f>
        <v>0</v>
      </c>
      <c r="C9" s="60">
        <f>'HH Rev Data Input'!C20</f>
        <v>0</v>
      </c>
      <c r="D9" s="61">
        <f>IF(SUM(B9:C9)=0,0,AVERAGE(B9:C9))</f>
        <v>0</v>
      </c>
      <c r="E9" s="60">
        <f>'HH Rev Data Input'!D20</f>
        <v>0</v>
      </c>
      <c r="F9" s="60">
        <f>'HH Rev Data Input'!E20</f>
        <v>0</v>
      </c>
      <c r="G9" s="60">
        <f>'HH Rev Data Input'!F20</f>
        <v>0</v>
      </c>
      <c r="H9" s="60">
        <f>'HH Rev Data Input'!G20</f>
        <v>0</v>
      </c>
      <c r="I9" s="60">
        <f>'HH Rev Data Input'!H20</f>
        <v>0</v>
      </c>
      <c r="J9" s="60">
        <f>'HH Rev Data Input'!I20</f>
        <v>0</v>
      </c>
      <c r="K9" s="60">
        <f>'HH Rev Data Input'!J20</f>
        <v>0</v>
      </c>
      <c r="L9" s="60">
        <f>'HH Rev Data Input'!K20</f>
        <v>0</v>
      </c>
      <c r="M9" s="60">
        <f>'HH Rev Data Input'!L20</f>
        <v>0</v>
      </c>
      <c r="N9" s="60">
        <f>'HH Rev Data Input'!M20</f>
        <v>0</v>
      </c>
    </row>
    <row r="10" spans="1:14" x14ac:dyDescent="0.3">
      <c r="A10" s="56"/>
      <c r="B10" s="62"/>
      <c r="C10" s="62"/>
      <c r="D10" s="62"/>
      <c r="E10" s="62"/>
      <c r="F10" s="62"/>
      <c r="G10" s="47"/>
      <c r="H10" s="47"/>
      <c r="I10" s="47"/>
      <c r="J10" s="47"/>
      <c r="K10" s="47"/>
      <c r="L10" s="47"/>
      <c r="M10" s="47"/>
      <c r="N10" s="47"/>
    </row>
    <row r="11" spans="1:14" x14ac:dyDescent="0.3">
      <c r="A11" s="51" t="s">
        <v>180</v>
      </c>
      <c r="B11" s="55" t="s">
        <v>133</v>
      </c>
      <c r="C11" s="55" t="s">
        <v>134</v>
      </c>
      <c r="D11" s="55" t="s">
        <v>176</v>
      </c>
      <c r="E11" s="55" t="s">
        <v>135</v>
      </c>
      <c r="F11" s="55" t="s">
        <v>136</v>
      </c>
      <c r="G11" s="55" t="s">
        <v>137</v>
      </c>
      <c r="H11" s="55" t="s">
        <v>138</v>
      </c>
      <c r="I11" s="55" t="s">
        <v>139</v>
      </c>
      <c r="J11" s="55" t="s">
        <v>140</v>
      </c>
      <c r="K11" s="55" t="s">
        <v>141</v>
      </c>
      <c r="L11" s="55" t="s">
        <v>142</v>
      </c>
      <c r="M11" s="55" t="s">
        <v>143</v>
      </c>
      <c r="N11" s="55" t="s">
        <v>144</v>
      </c>
    </row>
    <row r="12" spans="1:14" x14ac:dyDescent="0.3">
      <c r="A12" s="56" t="s">
        <v>150</v>
      </c>
      <c r="B12" s="63">
        <f>'HH Rev Data Input'!B25</f>
        <v>0</v>
      </c>
      <c r="C12" s="63">
        <f>'HH Rev Data Input'!C25</f>
        <v>0</v>
      </c>
      <c r="D12" s="64">
        <f>IF(SUM(B12:C12)=0,0,AVERAGE(B12:C12))</f>
        <v>0</v>
      </c>
      <c r="E12" s="63">
        <f>'HH Rev Data Input'!D25</f>
        <v>0</v>
      </c>
      <c r="F12" s="63">
        <f>'HH Rev Data Input'!E25</f>
        <v>0</v>
      </c>
      <c r="G12" s="63">
        <f>'HH Rev Data Input'!F25</f>
        <v>0</v>
      </c>
      <c r="H12" s="63">
        <f>'HH Rev Data Input'!G25</f>
        <v>0</v>
      </c>
      <c r="I12" s="63">
        <f>'HH Rev Data Input'!H25</f>
        <v>0</v>
      </c>
      <c r="J12" s="63">
        <f>'HH Rev Data Input'!I25</f>
        <v>0</v>
      </c>
      <c r="K12" s="63">
        <f>'HH Rev Data Input'!J25</f>
        <v>0</v>
      </c>
      <c r="L12" s="63">
        <f>'HH Rev Data Input'!K25</f>
        <v>0</v>
      </c>
      <c r="M12" s="63">
        <f>'HH Rev Data Input'!L25</f>
        <v>0</v>
      </c>
      <c r="N12" s="63">
        <f>'HH Rev Data Input'!M25</f>
        <v>0</v>
      </c>
    </row>
    <row r="13" spans="1:14" x14ac:dyDescent="0.3">
      <c r="A13" s="56" t="s">
        <v>181</v>
      </c>
      <c r="B13" s="63">
        <f>'HH Rev Data Input'!B30</f>
        <v>0</v>
      </c>
      <c r="C13" s="63">
        <f>'HH Rev Data Input'!C30</f>
        <v>0</v>
      </c>
      <c r="D13" s="64">
        <f>IF(SUM(B13:C13)=0,0,AVERAGE(B13:C13))</f>
        <v>0</v>
      </c>
      <c r="E13" s="63">
        <f>'HH Rev Data Input'!D30</f>
        <v>0</v>
      </c>
      <c r="F13" s="63">
        <f>'HH Rev Data Input'!E30</f>
        <v>0</v>
      </c>
      <c r="G13" s="63">
        <f>'HH Rev Data Input'!F30</f>
        <v>0</v>
      </c>
      <c r="H13" s="63">
        <f>'HH Rev Data Input'!G30</f>
        <v>0</v>
      </c>
      <c r="I13" s="63">
        <f>'HH Rev Data Input'!H30</f>
        <v>0</v>
      </c>
      <c r="J13" s="63">
        <f>'HH Rev Data Input'!I30</f>
        <v>0</v>
      </c>
      <c r="K13" s="63">
        <f>'HH Rev Data Input'!J30</f>
        <v>0</v>
      </c>
      <c r="L13" s="63">
        <f>'HH Rev Data Input'!K30</f>
        <v>0</v>
      </c>
      <c r="M13" s="63">
        <f>'HH Rev Data Input'!L30</f>
        <v>0</v>
      </c>
      <c r="N13" s="63">
        <f>'HH Rev Data Input'!M30</f>
        <v>0</v>
      </c>
    </row>
    <row r="14" spans="1:14" x14ac:dyDescent="0.3">
      <c r="A14" s="56"/>
      <c r="B14" s="47"/>
      <c r="C14" s="47"/>
      <c r="D14" s="56"/>
      <c r="E14" s="47"/>
      <c r="F14" s="47"/>
      <c r="G14" s="47"/>
      <c r="H14" s="47"/>
      <c r="I14" s="47"/>
      <c r="J14" s="47"/>
      <c r="K14" s="47"/>
      <c r="L14" s="47"/>
      <c r="M14" s="47"/>
      <c r="N14" s="47"/>
    </row>
    <row r="15" spans="1:14" x14ac:dyDescent="0.3">
      <c r="A15" s="51" t="s">
        <v>182</v>
      </c>
      <c r="B15" s="55" t="s">
        <v>133</v>
      </c>
      <c r="C15" s="55" t="s">
        <v>134</v>
      </c>
      <c r="D15" s="55" t="s">
        <v>176</v>
      </c>
      <c r="E15" s="55" t="s">
        <v>135</v>
      </c>
      <c r="F15" s="55" t="s">
        <v>136</v>
      </c>
      <c r="G15" s="55" t="s">
        <v>137</v>
      </c>
      <c r="H15" s="55" t="s">
        <v>138</v>
      </c>
      <c r="I15" s="55" t="s">
        <v>139</v>
      </c>
      <c r="J15" s="55" t="s">
        <v>140</v>
      </c>
      <c r="K15" s="55" t="s">
        <v>141</v>
      </c>
      <c r="L15" s="55" t="s">
        <v>142</v>
      </c>
      <c r="M15" s="55" t="s">
        <v>143</v>
      </c>
      <c r="N15" s="55" t="s">
        <v>144</v>
      </c>
    </row>
    <row r="16" spans="1:14" x14ac:dyDescent="0.3">
      <c r="A16" s="56" t="s">
        <v>183</v>
      </c>
      <c r="B16" s="65">
        <f>'HH Rev Data Input'!B35</f>
        <v>0</v>
      </c>
      <c r="C16" s="65">
        <f>'HH Rev Data Input'!C35</f>
        <v>0</v>
      </c>
      <c r="D16" s="66">
        <f t="shared" ref="D16:D19" si="1">IF(SUM(B16:C16)=0,0,AVERAGE(B16:C16))</f>
        <v>0</v>
      </c>
      <c r="E16" s="65">
        <f>'HH Rev Data Input'!D35</f>
        <v>0</v>
      </c>
      <c r="F16" s="65">
        <f>'HH Rev Data Input'!E35</f>
        <v>0</v>
      </c>
      <c r="G16" s="65">
        <f>'HH Rev Data Input'!F35</f>
        <v>0</v>
      </c>
      <c r="H16" s="65">
        <f>'HH Rev Data Input'!G35</f>
        <v>0</v>
      </c>
      <c r="I16" s="65">
        <f>'HH Rev Data Input'!H35</f>
        <v>0</v>
      </c>
      <c r="J16" s="65">
        <f>'HH Rev Data Input'!I35</f>
        <v>0</v>
      </c>
      <c r="K16" s="65">
        <f>'HH Rev Data Input'!J35</f>
        <v>0</v>
      </c>
      <c r="L16" s="65">
        <f>'HH Rev Data Input'!K35</f>
        <v>0</v>
      </c>
      <c r="M16" s="65">
        <f>'HH Rev Data Input'!L35</f>
        <v>0</v>
      </c>
      <c r="N16" s="65">
        <f>'HH Rev Data Input'!M35</f>
        <v>0</v>
      </c>
    </row>
    <row r="17" spans="1:14" x14ac:dyDescent="0.3">
      <c r="A17" s="56" t="s">
        <v>154</v>
      </c>
      <c r="B17" s="67">
        <f>'HH Rev Data Input'!B41</f>
        <v>0</v>
      </c>
      <c r="C17" s="67">
        <f>'HH Rev Data Input'!C41</f>
        <v>0</v>
      </c>
      <c r="D17" s="66">
        <f t="shared" si="1"/>
        <v>0</v>
      </c>
      <c r="E17" s="67">
        <f>'HH Rev Data Input'!D41</f>
        <v>0</v>
      </c>
      <c r="F17" s="67">
        <f>'HH Rev Data Input'!E41</f>
        <v>0</v>
      </c>
      <c r="G17" s="67">
        <f>'HH Rev Data Input'!F41</f>
        <v>0</v>
      </c>
      <c r="H17" s="67">
        <f>'HH Rev Data Input'!G41</f>
        <v>0</v>
      </c>
      <c r="I17" s="67">
        <f>'HH Rev Data Input'!H41</f>
        <v>0</v>
      </c>
      <c r="J17" s="67">
        <f>'HH Rev Data Input'!I41</f>
        <v>0</v>
      </c>
      <c r="K17" s="67">
        <f>'HH Rev Data Input'!J41</f>
        <v>0</v>
      </c>
      <c r="L17" s="67">
        <f>'HH Rev Data Input'!K41</f>
        <v>0</v>
      </c>
      <c r="M17" s="67">
        <f>'HH Rev Data Input'!L41</f>
        <v>0</v>
      </c>
      <c r="N17" s="67">
        <f>'HH Rev Data Input'!M41</f>
        <v>0</v>
      </c>
    </row>
    <row r="18" spans="1:14" x14ac:dyDescent="0.3">
      <c r="A18" s="56" t="s">
        <v>155</v>
      </c>
      <c r="B18" s="67">
        <f>'HH Rev Data Input'!B47</f>
        <v>0</v>
      </c>
      <c r="C18" s="67">
        <f>'HH Rev Data Input'!C47</f>
        <v>0</v>
      </c>
      <c r="D18" s="66">
        <f t="shared" si="1"/>
        <v>0</v>
      </c>
      <c r="E18" s="67">
        <f>'HH Rev Data Input'!D47</f>
        <v>0</v>
      </c>
      <c r="F18" s="67">
        <f>'HH Rev Data Input'!E47</f>
        <v>0</v>
      </c>
      <c r="G18" s="67">
        <f>'HH Rev Data Input'!F47</f>
        <v>0</v>
      </c>
      <c r="H18" s="67">
        <f>'HH Rev Data Input'!G47</f>
        <v>0</v>
      </c>
      <c r="I18" s="67">
        <f>'HH Rev Data Input'!H47</f>
        <v>0</v>
      </c>
      <c r="J18" s="67">
        <f>'HH Rev Data Input'!I47</f>
        <v>0</v>
      </c>
      <c r="K18" s="67">
        <f>'HH Rev Data Input'!J47</f>
        <v>0</v>
      </c>
      <c r="L18" s="67">
        <f>'HH Rev Data Input'!K47</f>
        <v>0</v>
      </c>
      <c r="M18" s="67">
        <f>'HH Rev Data Input'!L47</f>
        <v>0</v>
      </c>
      <c r="N18" s="67">
        <f>'HH Rev Data Input'!M47</f>
        <v>0</v>
      </c>
    </row>
    <row r="19" spans="1:14" x14ac:dyDescent="0.3">
      <c r="A19" s="56" t="s">
        <v>184</v>
      </c>
      <c r="B19" s="67">
        <f>'HH Rev Data Input'!B53</f>
        <v>0</v>
      </c>
      <c r="C19" s="67">
        <f>'HH Rev Data Input'!C53</f>
        <v>0</v>
      </c>
      <c r="D19" s="66">
        <f t="shared" si="1"/>
        <v>0</v>
      </c>
      <c r="E19" s="67">
        <f>'HH Rev Data Input'!D53</f>
        <v>0</v>
      </c>
      <c r="F19" s="67">
        <f>'HH Rev Data Input'!E53</f>
        <v>0</v>
      </c>
      <c r="G19" s="67">
        <f>'HH Rev Data Input'!F53</f>
        <v>0</v>
      </c>
      <c r="H19" s="67">
        <f>'HH Rev Data Input'!G53</f>
        <v>0</v>
      </c>
      <c r="I19" s="67">
        <f>'HH Rev Data Input'!H53</f>
        <v>0</v>
      </c>
      <c r="J19" s="67">
        <f>'HH Rev Data Input'!I53</f>
        <v>0</v>
      </c>
      <c r="K19" s="67">
        <f>'HH Rev Data Input'!J53</f>
        <v>0</v>
      </c>
      <c r="L19" s="67">
        <f>'HH Rev Data Input'!K53</f>
        <v>0</v>
      </c>
      <c r="M19" s="67">
        <f>'HH Rev Data Input'!L53</f>
        <v>0</v>
      </c>
      <c r="N19" s="67">
        <f>'HH Rev Data Input'!M53</f>
        <v>0</v>
      </c>
    </row>
    <row r="20" spans="1:14" x14ac:dyDescent="0.3">
      <c r="A20" s="56"/>
      <c r="B20" s="47"/>
      <c r="C20" s="47"/>
      <c r="D20" s="56"/>
      <c r="E20" s="47"/>
      <c r="F20" s="47"/>
      <c r="G20" s="47"/>
      <c r="H20" s="47"/>
      <c r="I20" s="47"/>
      <c r="J20" s="47"/>
      <c r="K20" s="47"/>
      <c r="L20" s="47"/>
      <c r="M20" s="47"/>
      <c r="N20" s="47"/>
    </row>
    <row r="21" spans="1:14" x14ac:dyDescent="0.3">
      <c r="A21" s="51" t="s">
        <v>185</v>
      </c>
      <c r="B21" s="55" t="s">
        <v>133</v>
      </c>
      <c r="C21" s="55" t="s">
        <v>134</v>
      </c>
      <c r="D21" s="55" t="s">
        <v>176</v>
      </c>
      <c r="E21" s="55" t="s">
        <v>135</v>
      </c>
      <c r="F21" s="55" t="s">
        <v>136</v>
      </c>
      <c r="G21" s="55" t="s">
        <v>137</v>
      </c>
      <c r="H21" s="55" t="s">
        <v>138</v>
      </c>
      <c r="I21" s="55" t="s">
        <v>139</v>
      </c>
      <c r="J21" s="55" t="s">
        <v>140</v>
      </c>
      <c r="K21" s="55" t="s">
        <v>141</v>
      </c>
      <c r="L21" s="55" t="s">
        <v>142</v>
      </c>
      <c r="M21" s="55" t="s">
        <v>143</v>
      </c>
      <c r="N21" s="55" t="s">
        <v>144</v>
      </c>
    </row>
    <row r="22" spans="1:14" x14ac:dyDescent="0.3">
      <c r="A22" s="56" t="s">
        <v>157</v>
      </c>
      <c r="B22" s="67">
        <f>'HH Rev Data Input'!B59</f>
        <v>0</v>
      </c>
      <c r="C22" s="67">
        <f>'HH Rev Data Input'!C59</f>
        <v>0</v>
      </c>
      <c r="D22" s="66">
        <f t="shared" ref="D22:D24" si="2">IF(SUM(B22:C22)=0,0,AVERAGE(B22:C22))</f>
        <v>0</v>
      </c>
      <c r="E22" s="67">
        <f>'HH Rev Data Input'!D59</f>
        <v>0</v>
      </c>
      <c r="F22" s="67">
        <f>'HH Rev Data Input'!E59</f>
        <v>0</v>
      </c>
      <c r="G22" s="67">
        <f>'HH Rev Data Input'!F59</f>
        <v>0</v>
      </c>
      <c r="H22" s="67">
        <f>'HH Rev Data Input'!G59</f>
        <v>0</v>
      </c>
      <c r="I22" s="67">
        <f>'HH Rev Data Input'!H59</f>
        <v>0</v>
      </c>
      <c r="J22" s="67">
        <f>'HH Rev Data Input'!I59</f>
        <v>0</v>
      </c>
      <c r="K22" s="67">
        <f>'HH Rev Data Input'!J59</f>
        <v>0</v>
      </c>
      <c r="L22" s="67">
        <f>'HH Rev Data Input'!K59</f>
        <v>0</v>
      </c>
      <c r="M22" s="67">
        <f>'HH Rev Data Input'!L59</f>
        <v>0</v>
      </c>
      <c r="N22" s="67">
        <f>'HH Rev Data Input'!M59</f>
        <v>0</v>
      </c>
    </row>
    <row r="23" spans="1:14" x14ac:dyDescent="0.3">
      <c r="A23" s="56" t="s">
        <v>158</v>
      </c>
      <c r="B23" s="67">
        <f>'HH Rev Data Input'!B65</f>
        <v>0</v>
      </c>
      <c r="C23" s="67">
        <f>'HH Rev Data Input'!C65</f>
        <v>0</v>
      </c>
      <c r="D23" s="66">
        <f t="shared" si="2"/>
        <v>0</v>
      </c>
      <c r="E23" s="67">
        <f>'HH Rev Data Input'!D65</f>
        <v>0</v>
      </c>
      <c r="F23" s="67">
        <f>'HH Rev Data Input'!E65</f>
        <v>0</v>
      </c>
      <c r="G23" s="67">
        <f>'HH Rev Data Input'!F65</f>
        <v>0</v>
      </c>
      <c r="H23" s="67">
        <f>'HH Rev Data Input'!G65</f>
        <v>0</v>
      </c>
      <c r="I23" s="67">
        <f>'HH Rev Data Input'!H65</f>
        <v>0</v>
      </c>
      <c r="J23" s="67">
        <f>'HH Rev Data Input'!I65</f>
        <v>0</v>
      </c>
      <c r="K23" s="67">
        <f>'HH Rev Data Input'!J65</f>
        <v>0</v>
      </c>
      <c r="L23" s="67">
        <f>'HH Rev Data Input'!K65</f>
        <v>0</v>
      </c>
      <c r="M23" s="67">
        <f>'HH Rev Data Input'!L65</f>
        <v>0</v>
      </c>
      <c r="N23" s="67">
        <f>'HH Rev Data Input'!M65</f>
        <v>0</v>
      </c>
    </row>
    <row r="24" spans="1:14" x14ac:dyDescent="0.3">
      <c r="A24" s="56" t="s">
        <v>186</v>
      </c>
      <c r="B24" s="65">
        <f>'HH Rev Data Input'!B71</f>
        <v>0</v>
      </c>
      <c r="C24" s="65">
        <f>'HH Rev Data Input'!C71</f>
        <v>0</v>
      </c>
      <c r="D24" s="66">
        <f t="shared" si="2"/>
        <v>0</v>
      </c>
      <c r="E24" s="65">
        <f>'HH Rev Data Input'!D71</f>
        <v>0</v>
      </c>
      <c r="F24" s="65">
        <f>'HH Rev Data Input'!E71</f>
        <v>0</v>
      </c>
      <c r="G24" s="65">
        <f>'HH Rev Data Input'!F71</f>
        <v>0</v>
      </c>
      <c r="H24" s="65">
        <f>'HH Rev Data Input'!G71</f>
        <v>0</v>
      </c>
      <c r="I24" s="65">
        <f>'HH Rev Data Input'!H71</f>
        <v>0</v>
      </c>
      <c r="J24" s="65">
        <f>'HH Rev Data Input'!I71</f>
        <v>0</v>
      </c>
      <c r="K24" s="65">
        <f>'HH Rev Data Input'!J71</f>
        <v>0</v>
      </c>
      <c r="L24" s="65">
        <f>'HH Rev Data Input'!K71</f>
        <v>0</v>
      </c>
      <c r="M24" s="65">
        <f>'HH Rev Data Input'!L71</f>
        <v>0</v>
      </c>
      <c r="N24" s="65">
        <f>'HH Rev Data Input'!M71</f>
        <v>0</v>
      </c>
    </row>
  </sheetData>
  <sheetProtection algorithmName="SHA-512" hashValue="Clc8xTpqApTvuAfNeTnIboXhcsK220SYx2sKRNWnaYkBVADJGEZdgtjrlahLoAuWamsMZ6ISFBOiFb4PdHw9Ww==" saltValue="8zrAxr3f7zTG7umrgRXg9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AA11-C4C5-4244-A7BF-74789A4B16C2}">
  <sheetPr>
    <tabColor theme="5" tint="0.79998168889431442"/>
  </sheetPr>
  <dimension ref="A1:N17"/>
  <sheetViews>
    <sheetView workbookViewId="0">
      <pane xSplit="1" ySplit="2" topLeftCell="B3" activePane="bottomRight" state="frozen"/>
      <selection pane="topRight" activeCell="B1" sqref="B1"/>
      <selection pane="bottomLeft" activeCell="A3" sqref="A3"/>
      <selection pane="bottomRight" activeCell="B4" sqref="B4"/>
    </sheetView>
  </sheetViews>
  <sheetFormatPr defaultColWidth="9.140625" defaultRowHeight="15" x14ac:dyDescent="0.3"/>
  <cols>
    <col min="1" max="1" width="28.5703125" style="22" customWidth="1"/>
    <col min="2" max="3" width="23.5703125" style="41" customWidth="1"/>
    <col min="4" max="4" width="23.5703125" style="22" customWidth="1"/>
    <col min="5" max="14" width="23.5703125" style="41" customWidth="1"/>
    <col min="15" max="16384" width="9.140625" style="22"/>
  </cols>
  <sheetData>
    <row r="1" spans="1:14" x14ac:dyDescent="0.3">
      <c r="A1" s="51" t="s">
        <v>172</v>
      </c>
      <c r="B1" s="52"/>
      <c r="C1" s="52"/>
      <c r="D1" s="53"/>
      <c r="E1" s="52"/>
      <c r="F1" s="52"/>
      <c r="G1" s="52"/>
      <c r="H1" s="52"/>
      <c r="I1" s="52"/>
      <c r="J1" s="52"/>
      <c r="K1" s="52"/>
      <c r="L1" s="52"/>
      <c r="M1" s="52"/>
      <c r="N1" s="52"/>
    </row>
    <row r="2" spans="1:14" x14ac:dyDescent="0.3">
      <c r="A2" s="51" t="s">
        <v>188</v>
      </c>
      <c r="B2" s="52"/>
      <c r="C2" s="52"/>
      <c r="D2" s="53"/>
      <c r="E2" s="52"/>
      <c r="F2" s="54"/>
      <c r="G2" s="52"/>
      <c r="H2" s="52"/>
      <c r="I2" s="52"/>
      <c r="J2" s="52"/>
      <c r="K2" s="52"/>
      <c r="L2" s="52"/>
      <c r="M2" s="52"/>
      <c r="N2" s="52"/>
    </row>
    <row r="3" spans="1:14" x14ac:dyDescent="0.3">
      <c r="A3" s="51" t="s">
        <v>175</v>
      </c>
      <c r="B3" s="55" t="s">
        <v>133</v>
      </c>
      <c r="C3" s="55" t="s">
        <v>134</v>
      </c>
      <c r="D3" s="55" t="s">
        <v>176</v>
      </c>
      <c r="E3" s="55" t="s">
        <v>135</v>
      </c>
      <c r="F3" s="55" t="s">
        <v>136</v>
      </c>
      <c r="G3" s="55" t="s">
        <v>137</v>
      </c>
      <c r="H3" s="55" t="s">
        <v>138</v>
      </c>
      <c r="I3" s="55" t="s">
        <v>139</v>
      </c>
      <c r="J3" s="55" t="s">
        <v>140</v>
      </c>
      <c r="K3" s="55" t="s">
        <v>141</v>
      </c>
      <c r="L3" s="55" t="s">
        <v>142</v>
      </c>
      <c r="M3" s="55" t="s">
        <v>143</v>
      </c>
      <c r="N3" s="55" t="s">
        <v>144</v>
      </c>
    </row>
    <row r="4" spans="1:14" x14ac:dyDescent="0.3">
      <c r="A4" s="56" t="s">
        <v>161</v>
      </c>
      <c r="B4" s="57">
        <f>'HH Rev Data Input'!B15</f>
        <v>0</v>
      </c>
      <c r="C4" s="57">
        <f>'HH Rev Data Input'!C15</f>
        <v>0</v>
      </c>
      <c r="D4" s="58">
        <f>IF(SUM(B4:C4)=0,0,AVERAGE(B4:C4))</f>
        <v>0</v>
      </c>
      <c r="E4" s="57">
        <f>'HH Rev Data Input'!D15</f>
        <v>0</v>
      </c>
      <c r="F4" s="57">
        <f>'HH Rev Data Input'!E15</f>
        <v>0</v>
      </c>
      <c r="G4" s="57">
        <f>'HH Rev Data Input'!F15</f>
        <v>0</v>
      </c>
      <c r="H4" s="57">
        <f>'HH Rev Data Input'!G15</f>
        <v>0</v>
      </c>
      <c r="I4" s="57">
        <f>'HH Rev Data Input'!H15</f>
        <v>0</v>
      </c>
      <c r="J4" s="57">
        <f>'HH Rev Data Input'!I15</f>
        <v>0</v>
      </c>
      <c r="K4" s="57">
        <f>'HH Rev Data Input'!J15</f>
        <v>0</v>
      </c>
      <c r="L4" s="57">
        <f>'HH Rev Data Input'!K15</f>
        <v>0</v>
      </c>
      <c r="M4" s="57">
        <f>'HH Rev Data Input'!L15</f>
        <v>0</v>
      </c>
      <c r="N4" s="57">
        <f>'HH Rev Data Input'!M15</f>
        <v>0</v>
      </c>
    </row>
    <row r="5" spans="1:14" x14ac:dyDescent="0.3">
      <c r="A5" s="56" t="s">
        <v>329</v>
      </c>
      <c r="B5" s="185"/>
      <c r="C5" s="185"/>
      <c r="D5" s="186"/>
      <c r="E5" s="59">
        <f>E4-D4</f>
        <v>0</v>
      </c>
      <c r="F5" s="59">
        <f>(F4-$D$4)+E5</f>
        <v>0</v>
      </c>
      <c r="G5" s="59">
        <f t="shared" ref="G5:N5" si="0">(G4-$D$4)+F5</f>
        <v>0</v>
      </c>
      <c r="H5" s="59">
        <f t="shared" si="0"/>
        <v>0</v>
      </c>
      <c r="I5" s="59">
        <f t="shared" si="0"/>
        <v>0</v>
      </c>
      <c r="J5" s="59">
        <f t="shared" si="0"/>
        <v>0</v>
      </c>
      <c r="K5" s="59">
        <f t="shared" si="0"/>
        <v>0</v>
      </c>
      <c r="L5" s="59">
        <f t="shared" si="0"/>
        <v>0</v>
      </c>
      <c r="M5" s="59">
        <f t="shared" si="0"/>
        <v>0</v>
      </c>
      <c r="N5" s="59">
        <f t="shared" si="0"/>
        <v>0</v>
      </c>
    </row>
    <row r="6" spans="1:14" x14ac:dyDescent="0.3">
      <c r="A6" s="56"/>
      <c r="B6" s="47"/>
      <c r="C6" s="47"/>
      <c r="D6" s="56"/>
      <c r="E6" s="47"/>
      <c r="F6" s="47"/>
      <c r="G6" s="47"/>
      <c r="H6" s="47"/>
      <c r="I6" s="47"/>
      <c r="J6" s="47"/>
      <c r="K6" s="47"/>
      <c r="L6" s="47"/>
      <c r="M6" s="47"/>
      <c r="N6" s="47"/>
    </row>
    <row r="7" spans="1:14" x14ac:dyDescent="0.3">
      <c r="A7" s="51" t="s">
        <v>182</v>
      </c>
      <c r="B7" s="55" t="s">
        <v>133</v>
      </c>
      <c r="C7" s="55" t="s">
        <v>134</v>
      </c>
      <c r="D7" s="55" t="s">
        <v>176</v>
      </c>
      <c r="E7" s="55" t="s">
        <v>135</v>
      </c>
      <c r="F7" s="55" t="s">
        <v>136</v>
      </c>
      <c r="G7" s="55" t="s">
        <v>137</v>
      </c>
      <c r="H7" s="55" t="s">
        <v>138</v>
      </c>
      <c r="I7" s="55" t="s">
        <v>139</v>
      </c>
      <c r="J7" s="55" t="s">
        <v>140</v>
      </c>
      <c r="K7" s="55" t="s">
        <v>141</v>
      </c>
      <c r="L7" s="55" t="s">
        <v>142</v>
      </c>
      <c r="M7" s="55" t="s">
        <v>143</v>
      </c>
      <c r="N7" s="55" t="s">
        <v>144</v>
      </c>
    </row>
    <row r="8" spans="1:14" x14ac:dyDescent="0.3">
      <c r="A8" s="56" t="s">
        <v>183</v>
      </c>
      <c r="B8" s="65">
        <f>'HH Rev Data Input'!B36</f>
        <v>0</v>
      </c>
      <c r="C8" s="65">
        <f>'HH Rev Data Input'!C36</f>
        <v>0</v>
      </c>
      <c r="D8" s="66">
        <f t="shared" ref="D8:D11" si="1">IF(SUM(B8:C8)=0,0,AVERAGE(B8:C8))</f>
        <v>0</v>
      </c>
      <c r="E8" s="65">
        <f>'HH Rev Data Input'!D36</f>
        <v>0</v>
      </c>
      <c r="F8" s="65">
        <f>'HH Rev Data Input'!E36</f>
        <v>0</v>
      </c>
      <c r="G8" s="65">
        <f>'HH Rev Data Input'!F36</f>
        <v>0</v>
      </c>
      <c r="H8" s="65">
        <f>'HH Rev Data Input'!G36</f>
        <v>0</v>
      </c>
      <c r="I8" s="65">
        <f>'HH Rev Data Input'!H36</f>
        <v>0</v>
      </c>
      <c r="J8" s="65">
        <f>'HH Rev Data Input'!I36</f>
        <v>0</v>
      </c>
      <c r="K8" s="65">
        <f>'HH Rev Data Input'!J36</f>
        <v>0</v>
      </c>
      <c r="L8" s="65">
        <f>'HH Rev Data Input'!K36</f>
        <v>0</v>
      </c>
      <c r="M8" s="65">
        <f>'HH Rev Data Input'!L36</f>
        <v>0</v>
      </c>
      <c r="N8" s="65">
        <f>'HH Rev Data Input'!M36</f>
        <v>0</v>
      </c>
    </row>
    <row r="9" spans="1:14" x14ac:dyDescent="0.3">
      <c r="A9" s="56" t="s">
        <v>154</v>
      </c>
      <c r="B9" s="67">
        <f>'HH Rev Data Input'!B42</f>
        <v>0</v>
      </c>
      <c r="C9" s="67">
        <f>'HH Rev Data Input'!C42</f>
        <v>0</v>
      </c>
      <c r="D9" s="66">
        <f t="shared" si="1"/>
        <v>0</v>
      </c>
      <c r="E9" s="67">
        <f>'HH Rev Data Input'!D42</f>
        <v>0</v>
      </c>
      <c r="F9" s="67">
        <f>'HH Rev Data Input'!E42</f>
        <v>0</v>
      </c>
      <c r="G9" s="67">
        <f>'HH Rev Data Input'!F42</f>
        <v>0</v>
      </c>
      <c r="H9" s="67">
        <f>'HH Rev Data Input'!G42</f>
        <v>0</v>
      </c>
      <c r="I9" s="67">
        <f>'HH Rev Data Input'!H42</f>
        <v>0</v>
      </c>
      <c r="J9" s="67">
        <f>'HH Rev Data Input'!I42</f>
        <v>0</v>
      </c>
      <c r="K9" s="67">
        <f>'HH Rev Data Input'!J42</f>
        <v>0</v>
      </c>
      <c r="L9" s="67">
        <f>'HH Rev Data Input'!K42</f>
        <v>0</v>
      </c>
      <c r="M9" s="67">
        <f>'HH Rev Data Input'!L42</f>
        <v>0</v>
      </c>
      <c r="N9" s="67">
        <f>'HH Rev Data Input'!M42</f>
        <v>0</v>
      </c>
    </row>
    <row r="10" spans="1:14" x14ac:dyDescent="0.3">
      <c r="A10" s="56" t="s">
        <v>155</v>
      </c>
      <c r="B10" s="67">
        <f>'HH Rev Data Input'!B48</f>
        <v>0</v>
      </c>
      <c r="C10" s="67">
        <f>'HH Rev Data Input'!C48</f>
        <v>0</v>
      </c>
      <c r="D10" s="66">
        <f t="shared" si="1"/>
        <v>0</v>
      </c>
      <c r="E10" s="67">
        <f>'HH Rev Data Input'!D48</f>
        <v>0</v>
      </c>
      <c r="F10" s="67">
        <f>'HH Rev Data Input'!E48</f>
        <v>0</v>
      </c>
      <c r="G10" s="67">
        <f>'HH Rev Data Input'!F48</f>
        <v>0</v>
      </c>
      <c r="H10" s="67">
        <f>'HH Rev Data Input'!G48</f>
        <v>0</v>
      </c>
      <c r="I10" s="67">
        <f>'HH Rev Data Input'!H48</f>
        <v>0</v>
      </c>
      <c r="J10" s="67">
        <f>'HH Rev Data Input'!I48</f>
        <v>0</v>
      </c>
      <c r="K10" s="67">
        <f>'HH Rev Data Input'!J48</f>
        <v>0</v>
      </c>
      <c r="L10" s="67">
        <f>'HH Rev Data Input'!K48</f>
        <v>0</v>
      </c>
      <c r="M10" s="67">
        <f>'HH Rev Data Input'!L48</f>
        <v>0</v>
      </c>
      <c r="N10" s="67">
        <f>'HH Rev Data Input'!M48</f>
        <v>0</v>
      </c>
    </row>
    <row r="11" spans="1:14" x14ac:dyDescent="0.3">
      <c r="A11" s="56" t="s">
        <v>184</v>
      </c>
      <c r="B11" s="67">
        <f>'HH Rev Data Input'!B54</f>
        <v>0</v>
      </c>
      <c r="C11" s="67">
        <f>'HH Rev Data Input'!C54</f>
        <v>0</v>
      </c>
      <c r="D11" s="66">
        <f t="shared" si="1"/>
        <v>0</v>
      </c>
      <c r="E11" s="67">
        <f>'HH Rev Data Input'!D54</f>
        <v>0</v>
      </c>
      <c r="F11" s="67">
        <f>'HH Rev Data Input'!E54</f>
        <v>0</v>
      </c>
      <c r="G11" s="67">
        <f>'HH Rev Data Input'!F54</f>
        <v>0</v>
      </c>
      <c r="H11" s="67">
        <f>'HH Rev Data Input'!G54</f>
        <v>0</v>
      </c>
      <c r="I11" s="67">
        <f>'HH Rev Data Input'!H54</f>
        <v>0</v>
      </c>
      <c r="J11" s="67">
        <f>'HH Rev Data Input'!I54</f>
        <v>0</v>
      </c>
      <c r="K11" s="67">
        <f>'HH Rev Data Input'!J54</f>
        <v>0</v>
      </c>
      <c r="L11" s="67">
        <f>'HH Rev Data Input'!K54</f>
        <v>0</v>
      </c>
      <c r="M11" s="67">
        <f>'HH Rev Data Input'!L54</f>
        <v>0</v>
      </c>
      <c r="N11" s="67">
        <f>'HH Rev Data Input'!M54</f>
        <v>0</v>
      </c>
    </row>
    <row r="12" spans="1:14" x14ac:dyDescent="0.3">
      <c r="A12" s="56"/>
      <c r="B12" s="47"/>
      <c r="C12" s="47"/>
      <c r="D12" s="56"/>
      <c r="E12" s="47"/>
      <c r="F12" s="47"/>
      <c r="G12" s="47"/>
      <c r="H12" s="47"/>
      <c r="I12" s="47"/>
      <c r="J12" s="47"/>
      <c r="K12" s="47"/>
      <c r="L12" s="47"/>
      <c r="M12" s="47"/>
      <c r="N12" s="47"/>
    </row>
    <row r="13" spans="1:14" x14ac:dyDescent="0.3">
      <c r="A13" s="51" t="s">
        <v>185</v>
      </c>
      <c r="B13" s="55" t="s">
        <v>133</v>
      </c>
      <c r="C13" s="55" t="s">
        <v>134</v>
      </c>
      <c r="D13" s="55" t="s">
        <v>176</v>
      </c>
      <c r="E13" s="55" t="s">
        <v>135</v>
      </c>
      <c r="F13" s="55" t="s">
        <v>136</v>
      </c>
      <c r="G13" s="55" t="s">
        <v>137</v>
      </c>
      <c r="H13" s="55" t="s">
        <v>138</v>
      </c>
      <c r="I13" s="55" t="s">
        <v>139</v>
      </c>
      <c r="J13" s="55" t="s">
        <v>140</v>
      </c>
      <c r="K13" s="55" t="s">
        <v>141</v>
      </c>
      <c r="L13" s="55" t="s">
        <v>142</v>
      </c>
      <c r="M13" s="55" t="s">
        <v>143</v>
      </c>
      <c r="N13" s="55" t="s">
        <v>144</v>
      </c>
    </row>
    <row r="14" spans="1:14" x14ac:dyDescent="0.3">
      <c r="A14" s="56" t="s">
        <v>157</v>
      </c>
      <c r="B14" s="67">
        <f>'HH Rev Data Input'!B60</f>
        <v>0</v>
      </c>
      <c r="C14" s="67">
        <f>'HH Rev Data Input'!C60</f>
        <v>0</v>
      </c>
      <c r="D14" s="66">
        <f t="shared" ref="D14:D16" si="2">IF(SUM(B14:C14)=0,0,AVERAGE(B14:C14))</f>
        <v>0</v>
      </c>
      <c r="E14" s="67">
        <f>'HH Rev Data Input'!D60</f>
        <v>0</v>
      </c>
      <c r="F14" s="67">
        <f>'HH Rev Data Input'!E60</f>
        <v>0</v>
      </c>
      <c r="G14" s="67">
        <f>'HH Rev Data Input'!F60</f>
        <v>0</v>
      </c>
      <c r="H14" s="67">
        <f>'HH Rev Data Input'!G60</f>
        <v>0</v>
      </c>
      <c r="I14" s="67">
        <f>'HH Rev Data Input'!H60</f>
        <v>0</v>
      </c>
      <c r="J14" s="67">
        <f>'HH Rev Data Input'!I60</f>
        <v>0</v>
      </c>
      <c r="K14" s="67">
        <f>'HH Rev Data Input'!J60</f>
        <v>0</v>
      </c>
      <c r="L14" s="67">
        <f>'HH Rev Data Input'!K60</f>
        <v>0</v>
      </c>
      <c r="M14" s="67">
        <f>'HH Rev Data Input'!L60</f>
        <v>0</v>
      </c>
      <c r="N14" s="67">
        <f>'HH Rev Data Input'!M60</f>
        <v>0</v>
      </c>
    </row>
    <row r="15" spans="1:14" x14ac:dyDescent="0.3">
      <c r="A15" s="56" t="s">
        <v>158</v>
      </c>
      <c r="B15" s="67">
        <f>'HH Rev Data Input'!B66</f>
        <v>0</v>
      </c>
      <c r="C15" s="67">
        <f>'HH Rev Data Input'!C66</f>
        <v>0</v>
      </c>
      <c r="D15" s="66">
        <f t="shared" si="2"/>
        <v>0</v>
      </c>
      <c r="E15" s="67">
        <f>'HH Rev Data Input'!D66</f>
        <v>0</v>
      </c>
      <c r="F15" s="67">
        <f>'HH Rev Data Input'!E66</f>
        <v>0</v>
      </c>
      <c r="G15" s="67">
        <f>'HH Rev Data Input'!F66</f>
        <v>0</v>
      </c>
      <c r="H15" s="67">
        <f>'HH Rev Data Input'!G66</f>
        <v>0</v>
      </c>
      <c r="I15" s="67">
        <f>'HH Rev Data Input'!H66</f>
        <v>0</v>
      </c>
      <c r="J15" s="67">
        <f>'HH Rev Data Input'!I66</f>
        <v>0</v>
      </c>
      <c r="K15" s="67">
        <f>'HH Rev Data Input'!J66</f>
        <v>0</v>
      </c>
      <c r="L15" s="67">
        <f>'HH Rev Data Input'!K66</f>
        <v>0</v>
      </c>
      <c r="M15" s="67">
        <f>'HH Rev Data Input'!L66</f>
        <v>0</v>
      </c>
      <c r="N15" s="67">
        <f>'HH Rev Data Input'!M66</f>
        <v>0</v>
      </c>
    </row>
    <row r="16" spans="1:14" x14ac:dyDescent="0.3">
      <c r="A16" s="56" t="s">
        <v>186</v>
      </c>
      <c r="B16" s="65">
        <f>'HH Rev Data Input'!B72</f>
        <v>0</v>
      </c>
      <c r="C16" s="65">
        <f>'HH Rev Data Input'!C72</f>
        <v>0</v>
      </c>
      <c r="D16" s="66">
        <f t="shared" si="2"/>
        <v>0</v>
      </c>
      <c r="E16" s="65">
        <f>'HH Rev Data Input'!D72</f>
        <v>0</v>
      </c>
      <c r="F16" s="65">
        <f>'HH Rev Data Input'!E72</f>
        <v>0</v>
      </c>
      <c r="G16" s="65">
        <f>'HH Rev Data Input'!F72</f>
        <v>0</v>
      </c>
      <c r="H16" s="65">
        <f>'HH Rev Data Input'!G72</f>
        <v>0</v>
      </c>
      <c r="I16" s="65">
        <f>'HH Rev Data Input'!H72</f>
        <v>0</v>
      </c>
      <c r="J16" s="65">
        <f>'HH Rev Data Input'!I72</f>
        <v>0</v>
      </c>
      <c r="K16" s="65">
        <f>'HH Rev Data Input'!J72</f>
        <v>0</v>
      </c>
      <c r="L16" s="65">
        <f>'HH Rev Data Input'!K72</f>
        <v>0</v>
      </c>
      <c r="M16" s="65">
        <f>'HH Rev Data Input'!L72</f>
        <v>0</v>
      </c>
      <c r="N16" s="65">
        <f>'HH Rev Data Input'!M72</f>
        <v>0</v>
      </c>
    </row>
    <row r="17" spans="2:14" x14ac:dyDescent="0.3">
      <c r="B17" s="75"/>
      <c r="C17" s="75"/>
      <c r="D17" s="76"/>
      <c r="E17" s="75"/>
      <c r="F17" s="75"/>
      <c r="G17" s="75"/>
      <c r="H17" s="75"/>
      <c r="I17" s="75"/>
      <c r="J17" s="75"/>
      <c r="K17" s="75"/>
      <c r="L17" s="75"/>
      <c r="M17" s="75"/>
      <c r="N17" s="75"/>
    </row>
  </sheetData>
  <sheetProtection algorithmName="SHA-512" hashValue="TPFIXQNWf2UTPgeLYIEHcLODbrBk8HnW5PNhMNy/YJ5I0bO8/aKXu7NKQLjLmqPJe8zLxtJH3TJLLzzE2+9wCg==" saltValue="pxjSvK4mQ5cVCe0fj8jlA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Instructions</vt:lpstr>
      <vt:lpstr>HH Rev Data Input</vt:lpstr>
      <vt:lpstr>HO Rev Data Input</vt:lpstr>
      <vt:lpstr>Cost Data Input</vt:lpstr>
      <vt:lpstr>HH Summary</vt:lpstr>
      <vt:lpstr>HO Summary</vt:lpstr>
      <vt:lpstr>HH Medicare Rev</vt:lpstr>
      <vt:lpstr>HH Non-Medicare Rev (PDGM-PPS)</vt:lpstr>
      <vt:lpstr>HH Non-Medicare Rev (FFS)</vt:lpstr>
      <vt:lpstr>HO Medicare Rev</vt:lpstr>
      <vt:lpstr>HO Non-Medicare Rev</vt:lpstr>
      <vt:lpstr>HH Cost Summary</vt:lpstr>
      <vt:lpstr>HO Cost Summary</vt:lpstr>
      <vt:lpstr>Cost Definitions</vt:lpstr>
      <vt:lpstr>Cost Appendix A</vt:lpstr>
      <vt:lpstr>'HO Cost Summary'!CapitalCost</vt:lpstr>
      <vt:lpstr>CapitalCost</vt:lpstr>
      <vt:lpstr>'HO Cost Summary'!CapitalCosts</vt:lpstr>
      <vt:lpstr>CapitalCosts</vt:lpstr>
      <vt:lpstr>'HO Cost Summary'!Categories</vt:lpstr>
      <vt:lpstr>Categories</vt:lpstr>
      <vt:lpstr>'HO Cost Summary'!DirectCosts</vt:lpstr>
      <vt:lpstr>DirectCosts</vt:lpstr>
      <vt:lpstr>'HO Cost Summary'!IndirectCosts</vt:lpstr>
      <vt:lpstr>IndirectCosts</vt:lpstr>
      <vt:lpstr>'HO Cost Summary'!Months</vt:lpstr>
      <vt:lpstr>Months</vt:lpstr>
      <vt:lpstr>OperatingCosts</vt:lpstr>
      <vt:lpstr>'HO Cost Summary'!OperatingExpenses</vt:lpstr>
      <vt:lpstr>OperatingExpenses</vt:lpstr>
      <vt:lpstr>'HO Cost Summary'!SalesBillable</vt:lpstr>
      <vt:lpstr>SalesBillable</vt:lpstr>
      <vt:lpstr>'HO Cost Summary'!SalesNonBillable</vt:lpstr>
      <vt:lpstr>SalesNonBillable</vt:lpstr>
    </vt:vector>
  </TitlesOfParts>
  <Company>Dignity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 Paul - PAS</dc:creator>
  <cp:lastModifiedBy>Mike Carr</cp:lastModifiedBy>
  <dcterms:created xsi:type="dcterms:W3CDTF">2020-04-14T17:01:13Z</dcterms:created>
  <dcterms:modified xsi:type="dcterms:W3CDTF">2020-04-30T18:56:46Z</dcterms:modified>
</cp:coreProperties>
</file>